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<sst xmlns="http://schemas.openxmlformats.org/spreadsheetml/2006/main" count="422" uniqueCount="156">
  <si>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</si>
  <si>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</si>
  <si>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</si>
  <si>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</si>
  <si>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</si>
  <si>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</si>
  <si>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</si>
  <si>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</si>
  <si>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</si>
  <si>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</si>
  <si>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</si>
  <si>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</si>
  <si>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</si>
  <si>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</si>
  <si>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</si>
  <si>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</si>
  <si>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</si>
  <si>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</si>
  <si>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</si>
  <si>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</si>
  <si>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</si>
  <si>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</si>
  <si>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</si>
  <si>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</si>
  <si>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</si>
  <si>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</si>
  <si>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</si>
  <si>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</si>
  <si>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</si>
  <si>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</si>
  <si>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</si>
  <si>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</si>
  <si>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</si>
  <si>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</si>
  <si>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</si>
  <si>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</si>
  <si>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</si>
  <si>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</si>
  <si>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</si>
  <si>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</si>
  <si>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</si>
  <si>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</si>
  <si>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</si>
  <si>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</si>
  <si>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</si>
  <si>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</si>
  <si>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</si>
  <si>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</si>
  <si>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</si>
  <si>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</si>
  <si>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</si>
  <si>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</si>
  <si>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</si>
  <si>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</si>
  <si>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</si>
  <si>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</si>
  <si>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</si>
  <si>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</si>
  <si>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</si>
  <si>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</si>
  <si>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</si>
  <si>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</si>
  <si>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</si>
  <si>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</si>
  <si>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</si>
  <si>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</si>
  <si>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</si>
  <si>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</si>
  <si>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</si>
  <si>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</si>
  <si>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</si>
  <si>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</si>
  <si>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</si>
  <si>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</si>
  <si>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</si>
  <si>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</si>
  <si>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</si>
  <si>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</si>
  <si>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</si>
  <si>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</si>
  <si>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</si>
  <si>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</si>
  <si>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</si>
  <si>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</si>
  <si>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</si>
  <si>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</si>
  <si>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</si>
  <si>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</si>
  <si>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</si>
  <si>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</si>
  <si>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</si>
  <si>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</si>
  <si>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</si>
  <si>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</si>
  <si>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</si>
  <si>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</si>
  <si>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</si>
  <si>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</si>
  <si>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</si>
  <si>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</si>
  <si>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</si>
  <si>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</si>
  <si>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</si>
  <si>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</si>
  <si>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</si>
  <si>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</si>
  <si>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</si>
  <si>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</si>
  <si>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</si>
  <si>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</si>
  <si>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</si>
  <si>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</si>
  <si>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</si>
  <si>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</si>
  <si>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</si>
  <si>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</si>
  <si>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</si>
  <si>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</si>
  <si>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</si>
  <si>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</si>
  <si>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</si>
  <si>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</si>
  <si>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</si>
  <si>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</si>
  <si>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</si>
  <si>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</si>
  <si>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</si>
  <si>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</si>
  <si>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</si>
  <si>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</si>
  <si>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</si>
  <si>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</si>
  <si>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</si>
  <si>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</si>
  <si>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</si>
  <si>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</si>
  <si>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</si>
  <si>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</si>
  <si>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</si>
  <si>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</si>
  <si>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</si>
  <si>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</si>
  <si>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</si>
  <si>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</si>
  <si>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</si>
  <si>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</si>
  <si>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</si>
  <si>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</si>
  <si>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</si>
  <si>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</si>
  <si>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t>АКЦИЗНИЙ ПОДАТОК, в т.ч.</t>
  </si>
  <si>
    <r>
      <t>Акцизний податок (</t>
    </r>
    <r>
      <rPr>
        <b/>
        <i/>
        <sz val="12"/>
        <rFont val="Times New Roman"/>
        <family val="1"/>
      </rPr>
      <t>паливо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</si>
  <si>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паливо ввезене</t>
    </r>
    <r>
      <rPr>
        <i/>
        <sz val="12"/>
        <rFont val="Times New Roman"/>
        <family val="1"/>
      </rPr>
      <t>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</si>
  <si>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>ї суб`єктами господарювання роздрібної торгівлі підакцизних товарів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</si>
  <si>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</si>
  <si>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17.03.17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</si>
</sst>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5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5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6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5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7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5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77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5" fillId="0" borderId="0" xfId="54" applyNumberFormat="1" applyFont="1" applyProtection="1">
      <alignment/>
      <protection/>
    </xf>
    <xf numFmtId="182" fontId="78" fillId="0" borderId="0" xfId="54" applyNumberFormat="1" applyFont="1" applyFill="1" applyProtection="1">
      <alignment/>
      <protection/>
    </xf>
    <xf numFmtId="182" fontId="78" fillId="0" borderId="0" xfId="54" applyNumberFormat="1" applyFont="1" applyProtection="1">
      <alignment/>
      <protection/>
    </xf>
    <xf numFmtId="182" fontId="77" fillId="0" borderId="0" xfId="0" applyNumberFormat="1" applyFont="1" applyFill="1" applyAlignment="1" applyProtection="1">
      <alignment/>
      <protection/>
    </xf>
    <xf numFmtId="0" fontId="18" fillId="0" borderId="10" xfId="54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76" fillId="0" borderId="10" xfId="0" applyNumberFormat="1" applyFont="1" applyFill="1" applyBorder="1" applyAlignment="1" applyProtection="1">
      <alignment/>
      <protection/>
    </xf>
    <xf numFmtId="191" fontId="76" fillId="0" borderId="10" xfId="0" applyNumberFormat="1" applyFont="1" applyFill="1" applyBorder="1" applyAlignment="1" applyProtection="1">
      <alignment/>
      <protection/>
    </xf>
    <xf numFmtId="182" fontId="38" fillId="0" borderId="0" xfId="0" applyNumberFormat="1" applyFont="1" applyAlignment="1" applyProtection="1">
      <alignment/>
      <protection/>
    </xf>
    <xf numFmtId="182" fontId="79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5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8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0" style="243" hidden="1" customWidth="1"/>
    <col min="22" max="16384" width="9.125" style="4" customWidth="1"/>
  </cols>
  <sheetData>
    <row r="1" spans="1:21" s="1" customFormat="1" ht="26.25" customHeight="1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85"/>
      <c r="S1" s="86"/>
      <c r="T1" s="238"/>
      <c r="U1" s="241"/>
    </row>
    <row r="2" spans="2:21" s="1" customFormat="1" ht="15.75" customHeight="1">
      <c r="B2" s="254"/>
      <c r="C2" s="254"/>
      <c r="D2" s="25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38"/>
      <c r="U2" s="241"/>
    </row>
    <row r="3" spans="1:21" s="3" customFormat="1" ht="13.5" customHeight="1">
      <c r="A3" s="255"/>
      <c r="B3" s="257"/>
      <c r="C3" s="258" t="s">
        <v>0</v>
      </c>
      <c r="D3" s="259" t="s">
        <v>138</v>
      </c>
      <c r="E3" s="31"/>
      <c r="F3" s="260" t="s">
        <v>26</v>
      </c>
      <c r="G3" s="261"/>
      <c r="H3" s="261"/>
      <c r="I3" s="261"/>
      <c r="J3" s="262"/>
      <c r="K3" s="82"/>
      <c r="L3" s="82"/>
      <c r="M3" s="82"/>
      <c r="N3" s="263" t="s">
        <v>143</v>
      </c>
      <c r="O3" s="266" t="s">
        <v>144</v>
      </c>
      <c r="P3" s="266"/>
      <c r="Q3" s="266"/>
      <c r="R3" s="266"/>
      <c r="S3" s="266"/>
      <c r="T3" s="112"/>
      <c r="U3" s="242"/>
    </row>
    <row r="4" spans="1:19" ht="22.5" customHeight="1">
      <c r="A4" s="255"/>
      <c r="B4" s="257"/>
      <c r="C4" s="258"/>
      <c r="D4" s="259"/>
      <c r="E4" s="267" t="s">
        <v>141</v>
      </c>
      <c r="F4" s="269" t="s">
        <v>33</v>
      </c>
      <c r="G4" s="271" t="s">
        <v>142</v>
      </c>
      <c r="H4" s="264" t="s">
        <v>134</v>
      </c>
      <c r="I4" s="271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73" t="s">
        <v>155</v>
      </c>
      <c r="P4" s="271" t="s">
        <v>49</v>
      </c>
      <c r="Q4" s="275" t="s">
        <v>48</v>
      </c>
      <c r="R4" s="90" t="s">
        <v>64</v>
      </c>
      <c r="S4" s="91" t="s">
        <v>63</v>
      </c>
    </row>
    <row r="5" spans="1:21" ht="67.5" customHeight="1">
      <c r="A5" s="256"/>
      <c r="B5" s="257"/>
      <c r="C5" s="258"/>
      <c r="D5" s="259"/>
      <c r="E5" s="268"/>
      <c r="F5" s="270"/>
      <c r="G5" s="272"/>
      <c r="H5" s="265"/>
      <c r="I5" s="272"/>
      <c r="J5" s="265"/>
      <c r="K5" s="276" t="s">
        <v>149</v>
      </c>
      <c r="L5" s="277"/>
      <c r="M5" s="278"/>
      <c r="N5" s="265"/>
      <c r="O5" s="274"/>
      <c r="P5" s="272"/>
      <c r="Q5" s="275"/>
      <c r="R5" s="276" t="s">
        <v>102</v>
      </c>
      <c r="S5" s="278"/>
      <c r="T5" s="28" t="s">
        <v>147</v>
      </c>
      <c r="U5" s="243" t="s">
        <v>148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285439.5</v>
      </c>
      <c r="F8" s="149">
        <f>F9+F15+F18+F19+F23+F40</f>
        <v>246898.64999999997</v>
      </c>
      <c r="G8" s="149">
        <f aca="true" t="shared" si="0" ref="G8:G40">F8-E8</f>
        <v>-38540.850000000035</v>
      </c>
      <c r="H8" s="150">
        <f>F8/E8*100</f>
        <v>86.49771667901604</v>
      </c>
      <c r="I8" s="151">
        <f>F8-D8</f>
        <v>-1051552.4500000002</v>
      </c>
      <c r="J8" s="151">
        <f>F8/D8*100</f>
        <v>19.014859319692512</v>
      </c>
      <c r="K8" s="149">
        <v>209787.72</v>
      </c>
      <c r="L8" s="149">
        <f aca="true" t="shared" si="1" ref="L8:L54">F8-K8</f>
        <v>37110.929999999964</v>
      </c>
      <c r="M8" s="203">
        <f aca="true" t="shared" si="2" ref="M8:M31">F8/K8</f>
        <v>1.1768975324199147</v>
      </c>
      <c r="N8" s="149">
        <f>N9+N15+N18+N19+N23+N17</f>
        <v>89194</v>
      </c>
      <c r="O8" s="149">
        <f>O9+O15+O18+O19+O23+O17</f>
        <v>52067.17999999998</v>
      </c>
      <c r="P8" s="149">
        <f>O8-N8</f>
        <v>-37126.82000000002</v>
      </c>
      <c r="Q8" s="149">
        <f>O8/N8*100</f>
        <v>58.375204610175544</v>
      </c>
      <c r="R8" s="15" t="e">
        <f>#N/A</f>
        <v>#N/A</v>
      </c>
      <c r="S8" s="15" t="e">
        <f>#N/A</f>
        <v>#N/A</v>
      </c>
      <c r="T8" s="145"/>
      <c r="U8" s="239"/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159160</v>
      </c>
      <c r="F9" s="154">
        <v>136152.81</v>
      </c>
      <c r="G9" s="148">
        <f t="shared" si="0"/>
        <v>-23007.190000000002</v>
      </c>
      <c r="H9" s="155">
        <f>F9/E9*100</f>
        <v>85.5446154812767</v>
      </c>
      <c r="I9" s="156">
        <f>F9-D9</f>
        <v>-630492.19</v>
      </c>
      <c r="J9" s="156">
        <f>F9/D9*100</f>
        <v>17.75956407463689</v>
      </c>
      <c r="K9" s="225">
        <v>112281.82</v>
      </c>
      <c r="L9" s="157">
        <f t="shared" si="1"/>
        <v>23870.98999999999</v>
      </c>
      <c r="M9" s="204">
        <f t="shared" si="2"/>
        <v>1.2125988873354563</v>
      </c>
      <c r="N9" s="155">
        <f>E9-лютий!E9</f>
        <v>56960</v>
      </c>
      <c r="O9" s="158">
        <f>F9-лютий!F9</f>
        <v>34266.869999999995</v>
      </c>
      <c r="P9" s="159">
        <f>O9-N9</f>
        <v>-22693.130000000005</v>
      </c>
      <c r="Q9" s="156">
        <f>O9/N9*100</f>
        <v>60.15953300561797</v>
      </c>
      <c r="R9" s="99"/>
      <c r="S9" s="100"/>
      <c r="T9" s="145">
        <v>58776</v>
      </c>
      <c r="U9" s="239">
        <f>O9-T9</f>
        <v>-24509.130000000005</v>
      </c>
    </row>
    <row r="10" spans="1:21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143812</v>
      </c>
      <c r="F10" s="138">
        <v>124736.17</v>
      </c>
      <c r="G10" s="102">
        <f t="shared" si="0"/>
        <v>-19075.83</v>
      </c>
      <c r="H10" s="29">
        <f aca="true" t="shared" si="3" ref="H10:H39">F10/E10*100</f>
        <v>86.7355783940144</v>
      </c>
      <c r="I10" s="103">
        <f aca="true" t="shared" si="4" ref="I10:I40">F10-D10</f>
        <v>-576580.83</v>
      </c>
      <c r="J10" s="103">
        <f aca="true" t="shared" si="5" ref="J10:J39">F10/D10*100</f>
        <v>17.78598978778498</v>
      </c>
      <c r="K10" s="105">
        <v>98464.38</v>
      </c>
      <c r="L10" s="105">
        <f t="shared" si="1"/>
        <v>26271.789999999994</v>
      </c>
      <c r="M10" s="205">
        <f t="shared" si="2"/>
        <v>1.2668151670685377</v>
      </c>
      <c r="N10" s="104">
        <f>E10-лютий!E10</f>
        <v>51464</v>
      </c>
      <c r="O10" s="142">
        <f>F10-лютий!F10</f>
        <v>32009.53</v>
      </c>
      <c r="P10" s="105">
        <f aca="true" t="shared" si="6" ref="P10:P40">O10-N10</f>
        <v>-19454.47</v>
      </c>
      <c r="Q10" s="103">
        <f aca="true" t="shared" si="7" ref="Q10:Q27">O10/N10*100</f>
        <v>62.197905331882474</v>
      </c>
      <c r="R10" s="36"/>
      <c r="S10" s="93"/>
      <c r="T10" s="145"/>
      <c r="U10" s="239">
        <f aca="true" t="shared" si="8" ref="U10:U42">O10-T10</f>
        <v>32009.53</v>
      </c>
    </row>
    <row r="11" spans="1:21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7106.71</v>
      </c>
      <c r="G11" s="102">
        <f t="shared" si="0"/>
        <v>-3693.29</v>
      </c>
      <c r="H11" s="29">
        <f t="shared" si="3"/>
        <v>65.80287037037037</v>
      </c>
      <c r="I11" s="103">
        <f t="shared" si="4"/>
        <v>-39399.29</v>
      </c>
      <c r="J11" s="103">
        <f t="shared" si="5"/>
        <v>15.281275534339656</v>
      </c>
      <c r="K11" s="105">
        <v>8077.11</v>
      </c>
      <c r="L11" s="105">
        <f t="shared" si="1"/>
        <v>-970.3999999999996</v>
      </c>
      <c r="M11" s="205">
        <f t="shared" si="2"/>
        <v>0.8798580185239523</v>
      </c>
      <c r="N11" s="104">
        <f>E11-лютий!E11</f>
        <v>3600</v>
      </c>
      <c r="O11" s="142">
        <f>F11-лютий!F11</f>
        <v>1211.4499999999998</v>
      </c>
      <c r="P11" s="105">
        <f t="shared" si="6"/>
        <v>-2388.55</v>
      </c>
      <c r="Q11" s="103">
        <f t="shared" si="7"/>
        <v>33.65138888888888</v>
      </c>
      <c r="R11" s="36"/>
      <c r="S11" s="93"/>
      <c r="T11" s="145"/>
      <c r="U11" s="239">
        <f t="shared" si="8"/>
        <v>1211.4499999999998</v>
      </c>
    </row>
    <row r="12" spans="1:21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1454.16</v>
      </c>
      <c r="G12" s="102">
        <f t="shared" si="0"/>
        <v>-285.8399999999999</v>
      </c>
      <c r="H12" s="29">
        <f t="shared" si="3"/>
        <v>83.57241379310345</v>
      </c>
      <c r="I12" s="103">
        <f t="shared" si="4"/>
        <v>-6825.84</v>
      </c>
      <c r="J12" s="103">
        <f t="shared" si="5"/>
        <v>17.56231884057971</v>
      </c>
      <c r="K12" s="105">
        <v>2379.47</v>
      </c>
      <c r="L12" s="105">
        <f t="shared" si="1"/>
        <v>-925.3099999999997</v>
      </c>
      <c r="M12" s="205">
        <f t="shared" si="2"/>
        <v>0.6111276880986103</v>
      </c>
      <c r="N12" s="104">
        <f>E12-лютий!E12</f>
        <v>900</v>
      </c>
      <c r="O12" s="142">
        <f>F12-лютий!F12</f>
        <v>416.74</v>
      </c>
      <c r="P12" s="105">
        <f t="shared" si="6"/>
        <v>-483.26</v>
      </c>
      <c r="Q12" s="103">
        <f t="shared" si="7"/>
        <v>46.30444444444445</v>
      </c>
      <c r="R12" s="36"/>
      <c r="S12" s="93"/>
      <c r="T12" s="145"/>
      <c r="U12" s="239">
        <f t="shared" si="8"/>
        <v>416.74</v>
      </c>
    </row>
    <row r="13" spans="1:21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2482.26</v>
      </c>
      <c r="G13" s="102">
        <f t="shared" si="0"/>
        <v>-37.73999999999978</v>
      </c>
      <c r="H13" s="29">
        <f t="shared" si="3"/>
        <v>98.50238095238096</v>
      </c>
      <c r="I13" s="103">
        <f t="shared" si="4"/>
        <v>-6907.74</v>
      </c>
      <c r="J13" s="103">
        <f t="shared" si="5"/>
        <v>26.435143769968057</v>
      </c>
      <c r="K13" s="105">
        <v>2424.94</v>
      </c>
      <c r="L13" s="105">
        <f t="shared" si="1"/>
        <v>57.320000000000164</v>
      </c>
      <c r="M13" s="205">
        <f t="shared" si="2"/>
        <v>1.0236376982523279</v>
      </c>
      <c r="N13" s="104">
        <f>E13-лютий!E13</f>
        <v>900</v>
      </c>
      <c r="O13" s="142">
        <f>F13-лютий!F13</f>
        <v>453.9400000000003</v>
      </c>
      <c r="P13" s="105">
        <f t="shared" si="6"/>
        <v>-446.0599999999997</v>
      </c>
      <c r="Q13" s="103">
        <f t="shared" si="7"/>
        <v>50.437777777777804</v>
      </c>
      <c r="R13" s="36"/>
      <c r="S13" s="93"/>
      <c r="T13" s="145"/>
      <c r="U13" s="239">
        <f t="shared" si="8"/>
        <v>453.9400000000003</v>
      </c>
    </row>
    <row r="14" spans="1:21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373.51</v>
      </c>
      <c r="G14" s="102">
        <f t="shared" si="0"/>
        <v>85.50999999999999</v>
      </c>
      <c r="H14" s="29">
        <f t="shared" si="3"/>
        <v>129.6909722222222</v>
      </c>
      <c r="I14" s="103">
        <f t="shared" si="4"/>
        <v>-778.49</v>
      </c>
      <c r="J14" s="103">
        <f t="shared" si="5"/>
        <v>32.42274305555555</v>
      </c>
      <c r="K14" s="105">
        <v>935.92</v>
      </c>
      <c r="L14" s="105">
        <f t="shared" si="1"/>
        <v>-562.41</v>
      </c>
      <c r="M14" s="205">
        <f t="shared" si="2"/>
        <v>0.39908325497905806</v>
      </c>
      <c r="N14" s="104">
        <f>E14-лютий!E14</f>
        <v>96</v>
      </c>
      <c r="O14" s="142">
        <f>F14-лютий!F14</f>
        <v>175.2</v>
      </c>
      <c r="P14" s="105">
        <f t="shared" si="6"/>
        <v>79.19999999999999</v>
      </c>
      <c r="Q14" s="103">
        <f t="shared" si="7"/>
        <v>182.5</v>
      </c>
      <c r="R14" s="36"/>
      <c r="S14" s="93"/>
      <c r="T14" s="239"/>
      <c r="U14" s="239">
        <f t="shared" si="8"/>
        <v>175.2</v>
      </c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39">
        <f t="shared" si="8"/>
        <v>-3.1300000000000523</v>
      </c>
    </row>
    <row r="16" spans="1:21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39">
        <f t="shared" si="8"/>
        <v>0</v>
      </c>
    </row>
    <row r="17" spans="1:21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39">
        <f t="shared" si="8"/>
        <v>0</v>
      </c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39"/>
    </row>
    <row r="19" spans="1:21" s="6" customFormat="1" ht="18">
      <c r="A19" s="8"/>
      <c r="B19" s="13" t="s">
        <v>150</v>
      </c>
      <c r="C19" s="42">
        <v>14000000</v>
      </c>
      <c r="D19" s="148">
        <f>D20+D21+D22</f>
        <v>130000</v>
      </c>
      <c r="E19" s="148">
        <f>E20+E21+E22</f>
        <v>27800</v>
      </c>
      <c r="F19" s="154">
        <f>F20+F21+F22</f>
        <v>22061.94</v>
      </c>
      <c r="G19" s="160">
        <f t="shared" si="0"/>
        <v>-5738.060000000001</v>
      </c>
      <c r="H19" s="162">
        <f t="shared" si="3"/>
        <v>79.3594964028777</v>
      </c>
      <c r="I19" s="163">
        <f t="shared" si="4"/>
        <v>-107938.06</v>
      </c>
      <c r="J19" s="163">
        <f t="shared" si="5"/>
        <v>16.970723076923075</v>
      </c>
      <c r="K19" s="159">
        <v>18270.9</v>
      </c>
      <c r="L19" s="165">
        <f t="shared" si="1"/>
        <v>3791.0399999999972</v>
      </c>
      <c r="M19" s="211">
        <f t="shared" si="2"/>
        <v>1.207490599806249</v>
      </c>
      <c r="N19" s="162">
        <f>N20+N21+N22</f>
        <v>9800</v>
      </c>
      <c r="O19" s="166">
        <f>O20+O21+O22</f>
        <v>8356.03</v>
      </c>
      <c r="P19" s="165">
        <f t="shared" si="6"/>
        <v>-1443.9699999999993</v>
      </c>
      <c r="Q19" s="163">
        <f t="shared" si="7"/>
        <v>85.26561224489797</v>
      </c>
      <c r="R19" s="36"/>
      <c r="S19" s="93"/>
      <c r="T19" s="145"/>
      <c r="U19" s="239"/>
    </row>
    <row r="20" spans="1:22" s="6" customFormat="1" ht="46.5">
      <c r="A20" s="8"/>
      <c r="B20" s="245" t="s">
        <v>153</v>
      </c>
      <c r="C20" s="122">
        <v>14040000</v>
      </c>
      <c r="D20" s="246">
        <v>130000</v>
      </c>
      <c r="E20" s="246">
        <v>27800</v>
      </c>
      <c r="F20" s="199">
        <v>14289.61</v>
      </c>
      <c r="G20" s="246">
        <f t="shared" si="0"/>
        <v>-13510.39</v>
      </c>
      <c r="H20" s="193">
        <f t="shared" si="3"/>
        <v>51.40147482014389</v>
      </c>
      <c r="I20" s="247">
        <f t="shared" si="4"/>
        <v>-115710.39</v>
      </c>
      <c r="J20" s="247">
        <f t="shared" si="5"/>
        <v>10.992007692307693</v>
      </c>
      <c r="K20" s="248">
        <v>18270.89</v>
      </c>
      <c r="L20" s="164">
        <f t="shared" si="1"/>
        <v>-3981.279999999999</v>
      </c>
      <c r="M20" s="249">
        <f t="shared" si="2"/>
        <v>0.782097095434322</v>
      </c>
      <c r="N20" s="193">
        <f>E20-лютий!E19</f>
        <v>9800</v>
      </c>
      <c r="O20" s="177">
        <f>F20-лютий!F19</f>
        <v>583.7000000000007</v>
      </c>
      <c r="P20" s="164">
        <f t="shared" si="6"/>
        <v>-9216.3</v>
      </c>
      <c r="Q20" s="247">
        <f t="shared" si="7"/>
        <v>5.956122448979599</v>
      </c>
      <c r="R20" s="106"/>
      <c r="S20" s="107"/>
      <c r="T20" s="250">
        <v>4250</v>
      </c>
      <c r="U20" s="251">
        <f t="shared" si="8"/>
        <v>-3666.2999999999993</v>
      </c>
      <c r="V20" s="252"/>
    </row>
    <row r="21" spans="1:22" s="6" customFormat="1" ht="18">
      <c r="A21" s="8"/>
      <c r="B21" s="245" t="s">
        <v>151</v>
      </c>
      <c r="C21" s="122">
        <v>14021900</v>
      </c>
      <c r="D21" s="246">
        <v>0</v>
      </c>
      <c r="E21" s="246">
        <v>0</v>
      </c>
      <c r="F21" s="199">
        <v>1567.55</v>
      </c>
      <c r="G21" s="246">
        <f t="shared" si="0"/>
        <v>1567.55</v>
      </c>
      <c r="H21" s="193"/>
      <c r="I21" s="247">
        <f t="shared" si="4"/>
        <v>1567.55</v>
      </c>
      <c r="J21" s="247"/>
      <c r="K21" s="248">
        <v>0</v>
      </c>
      <c r="L21" s="164">
        <f t="shared" si="1"/>
        <v>1567.55</v>
      </c>
      <c r="M21" s="249"/>
      <c r="N21" s="193">
        <v>0</v>
      </c>
      <c r="O21" s="177">
        <f>F21</f>
        <v>1567.55</v>
      </c>
      <c r="P21" s="164"/>
      <c r="Q21" s="247"/>
      <c r="R21" s="106"/>
      <c r="S21" s="107"/>
      <c r="T21" s="250"/>
      <c r="U21" s="251"/>
      <c r="V21" s="252"/>
    </row>
    <row r="22" spans="1:22" s="6" customFormat="1" ht="18">
      <c r="A22" s="8"/>
      <c r="B22" s="245" t="s">
        <v>152</v>
      </c>
      <c r="C22" s="122">
        <v>14031900</v>
      </c>
      <c r="D22" s="246">
        <v>0</v>
      </c>
      <c r="E22" s="246">
        <v>0</v>
      </c>
      <c r="F22" s="199">
        <v>6204.78</v>
      </c>
      <c r="G22" s="246">
        <f t="shared" si="0"/>
        <v>6204.78</v>
      </c>
      <c r="H22" s="193"/>
      <c r="I22" s="247">
        <f t="shared" si="4"/>
        <v>6204.78</v>
      </c>
      <c r="J22" s="247"/>
      <c r="K22" s="248">
        <v>0</v>
      </c>
      <c r="L22" s="164">
        <f t="shared" si="1"/>
        <v>6204.78</v>
      </c>
      <c r="M22" s="249"/>
      <c r="N22" s="193">
        <v>0</v>
      </c>
      <c r="O22" s="177">
        <f>F22</f>
        <v>6204.78</v>
      </c>
      <c r="P22" s="164"/>
      <c r="Q22" s="247"/>
      <c r="R22" s="106"/>
      <c r="S22" s="107"/>
      <c r="T22" s="250"/>
      <c r="U22" s="251"/>
      <c r="V22" s="252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98238.5</v>
      </c>
      <c r="F23" s="221">
        <f>F24+F32+F33+F34+F35</f>
        <v>88931.85999999999</v>
      </c>
      <c r="G23" s="148">
        <f t="shared" si="0"/>
        <v>-9306.640000000014</v>
      </c>
      <c r="H23" s="155">
        <f t="shared" si="3"/>
        <v>90.52648401594078</v>
      </c>
      <c r="I23" s="156">
        <f t="shared" si="4"/>
        <v>-312198.24</v>
      </c>
      <c r="J23" s="156">
        <f t="shared" si="5"/>
        <v>22.17032828002685</v>
      </c>
      <c r="K23" s="156">
        <v>78944.09</v>
      </c>
      <c r="L23" s="159">
        <f t="shared" si="1"/>
        <v>9987.76999999999</v>
      </c>
      <c r="M23" s="207">
        <f t="shared" si="2"/>
        <v>1.1265170071629174</v>
      </c>
      <c r="N23" s="155">
        <f>E23-лютий!E20</f>
        <v>22314</v>
      </c>
      <c r="O23" s="158">
        <f>F23-лютий!F20</f>
        <v>9824.609999999986</v>
      </c>
      <c r="P23" s="159">
        <f t="shared" si="6"/>
        <v>-12489.390000000014</v>
      </c>
      <c r="Q23" s="156">
        <f t="shared" si="7"/>
        <v>44.0289056197902</v>
      </c>
      <c r="R23" s="106"/>
      <c r="S23" s="107"/>
      <c r="T23" s="145"/>
      <c r="U23" s="239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36001.99</v>
      </c>
      <c r="G24" s="148">
        <f t="shared" si="0"/>
        <v>-11838.810000000005</v>
      </c>
      <c r="H24" s="155">
        <f t="shared" si="3"/>
        <v>75.25373739569572</v>
      </c>
      <c r="I24" s="156">
        <f t="shared" si="4"/>
        <v>-170619.01</v>
      </c>
      <c r="J24" s="156">
        <f t="shared" si="5"/>
        <v>17.424167920976085</v>
      </c>
      <c r="K24" s="156">
        <v>40388.11</v>
      </c>
      <c r="L24" s="159">
        <f t="shared" si="1"/>
        <v>-4386.120000000003</v>
      </c>
      <c r="M24" s="207">
        <f t="shared" si="2"/>
        <v>0.8914007117441246</v>
      </c>
      <c r="N24" s="155">
        <f>E24-лютий!E21</f>
        <v>15760.000000000004</v>
      </c>
      <c r="O24" s="158">
        <f>F24-лютий!F21</f>
        <v>4546.939999999999</v>
      </c>
      <c r="P24" s="159">
        <f t="shared" si="6"/>
        <v>-11213.060000000005</v>
      </c>
      <c r="Q24" s="156">
        <f t="shared" si="7"/>
        <v>28.851142131979678</v>
      </c>
      <c r="R24" s="106"/>
      <c r="S24" s="107"/>
      <c r="T24" s="145"/>
      <c r="U24" s="239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4572.15</v>
      </c>
      <c r="G25" s="169">
        <f t="shared" si="0"/>
        <v>-377.85000000000036</v>
      </c>
      <c r="H25" s="171">
        <f t="shared" si="3"/>
        <v>92.36666666666666</v>
      </c>
      <c r="I25" s="172">
        <f t="shared" si="4"/>
        <v>-18236.85</v>
      </c>
      <c r="J25" s="172">
        <f t="shared" si="5"/>
        <v>20.04537682493752</v>
      </c>
      <c r="K25" s="173">
        <v>4194.89</v>
      </c>
      <c r="L25" s="164">
        <f t="shared" si="1"/>
        <v>377.2599999999993</v>
      </c>
      <c r="M25" s="213">
        <f t="shared" si="2"/>
        <v>1.0899332282848893</v>
      </c>
      <c r="N25" s="193">
        <f>E25-лютий!E22</f>
        <v>575</v>
      </c>
      <c r="O25" s="177">
        <f>F25-лютий!F22</f>
        <v>163.9399999999996</v>
      </c>
      <c r="P25" s="175">
        <f t="shared" si="6"/>
        <v>-411.0600000000004</v>
      </c>
      <c r="Q25" s="172">
        <f t="shared" si="7"/>
        <v>28.511304347826016</v>
      </c>
      <c r="R25" s="106"/>
      <c r="S25" s="107"/>
      <c r="T25" s="145">
        <v>374</v>
      </c>
      <c r="U25" s="239">
        <f t="shared" si="8"/>
        <v>-210.0600000000004</v>
      </c>
    </row>
    <row r="26" spans="1:21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152.79</v>
      </c>
      <c r="G26" s="196">
        <f t="shared" si="0"/>
        <v>-97.21000000000001</v>
      </c>
      <c r="H26" s="197">
        <f t="shared" si="3"/>
        <v>61.11599999999999</v>
      </c>
      <c r="I26" s="198">
        <f t="shared" si="4"/>
        <v>-1669.51</v>
      </c>
      <c r="J26" s="198">
        <f t="shared" si="5"/>
        <v>8.384459199912198</v>
      </c>
      <c r="K26" s="198">
        <v>156.42</v>
      </c>
      <c r="L26" s="198">
        <f t="shared" si="1"/>
        <v>-3.6299999999999955</v>
      </c>
      <c r="M26" s="226">
        <f t="shared" si="2"/>
        <v>0.9767932489451477</v>
      </c>
      <c r="N26" s="234">
        <f>E26-лютий!E23</f>
        <v>55</v>
      </c>
      <c r="O26" s="234">
        <f>F26-лютий!F23</f>
        <v>2.5600000000000023</v>
      </c>
      <c r="P26" s="198">
        <f t="shared" si="6"/>
        <v>-52.44</v>
      </c>
      <c r="Q26" s="198">
        <f t="shared" si="7"/>
        <v>4.654545454545459</v>
      </c>
      <c r="R26" s="106"/>
      <c r="S26" s="107"/>
      <c r="T26" s="145"/>
      <c r="U26" s="239">
        <f t="shared" si="8"/>
        <v>2.5600000000000023</v>
      </c>
    </row>
    <row r="27" spans="1:21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4419.36</v>
      </c>
      <c r="G27" s="196">
        <f t="shared" si="0"/>
        <v>-280.6400000000003</v>
      </c>
      <c r="H27" s="197">
        <f t="shared" si="3"/>
        <v>94.02893617021276</v>
      </c>
      <c r="I27" s="198">
        <f t="shared" si="4"/>
        <v>-16567.34</v>
      </c>
      <c r="J27" s="198">
        <f t="shared" si="5"/>
        <v>21.05790810370377</v>
      </c>
      <c r="K27" s="198">
        <v>4038.47</v>
      </c>
      <c r="L27" s="198">
        <f t="shared" si="1"/>
        <v>380.8899999999999</v>
      </c>
      <c r="M27" s="226">
        <f t="shared" si="2"/>
        <v>1.0943154214343551</v>
      </c>
      <c r="N27" s="234">
        <f>E27-лютий!E24</f>
        <v>520</v>
      </c>
      <c r="O27" s="234">
        <f>F27-лютий!F24</f>
        <v>161.3800000000001</v>
      </c>
      <c r="P27" s="198">
        <f t="shared" si="6"/>
        <v>-358.6199999999999</v>
      </c>
      <c r="Q27" s="198">
        <f t="shared" si="7"/>
        <v>31.034615384615407</v>
      </c>
      <c r="R27" s="106"/>
      <c r="S27" s="107"/>
      <c r="T27" s="145"/>
      <c r="U27" s="239">
        <f t="shared" si="8"/>
        <v>161.3800000000001</v>
      </c>
    </row>
    <row r="28" spans="1:21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54.17</v>
      </c>
      <c r="G28" s="169">
        <f t="shared" si="0"/>
        <v>-1.6299999999999955</v>
      </c>
      <c r="H28" s="171">
        <f t="shared" si="3"/>
        <v>97.07885304659499</v>
      </c>
      <c r="I28" s="172">
        <f t="shared" si="4"/>
        <v>-765.83</v>
      </c>
      <c r="J28" s="172">
        <f t="shared" si="5"/>
        <v>6.60609756097561</v>
      </c>
      <c r="K28" s="172">
        <v>313.88</v>
      </c>
      <c r="L28" s="172">
        <f t="shared" si="1"/>
        <v>-259.71</v>
      </c>
      <c r="M28" s="210">
        <f t="shared" si="2"/>
        <v>0.17258187842487577</v>
      </c>
      <c r="N28" s="193">
        <f>E28-лютий!E25</f>
        <v>5</v>
      </c>
      <c r="O28" s="177">
        <f>F28-лютий!F25</f>
        <v>-25</v>
      </c>
      <c r="P28" s="175">
        <f t="shared" si="6"/>
        <v>-30</v>
      </c>
      <c r="Q28" s="172">
        <f>O28/N28*100</f>
        <v>-500</v>
      </c>
      <c r="R28" s="106"/>
      <c r="S28" s="107"/>
      <c r="T28" s="145">
        <v>0</v>
      </c>
      <c r="U28" s="239">
        <f t="shared" si="8"/>
        <v>-25</v>
      </c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31375.67</v>
      </c>
      <c r="G29" s="169">
        <f t="shared" si="0"/>
        <v>-11459.330000000002</v>
      </c>
      <c r="H29" s="171">
        <f t="shared" si="3"/>
        <v>73.24774133302205</v>
      </c>
      <c r="I29" s="172">
        <f t="shared" si="4"/>
        <v>-151616.33000000002</v>
      </c>
      <c r="J29" s="172">
        <f t="shared" si="5"/>
        <v>17.145924411996152</v>
      </c>
      <c r="K29" s="173">
        <v>35879.34</v>
      </c>
      <c r="L29" s="173">
        <f t="shared" si="1"/>
        <v>-4503.669999999998</v>
      </c>
      <c r="M29" s="209">
        <f t="shared" si="2"/>
        <v>0.874477345458417</v>
      </c>
      <c r="N29" s="193">
        <f>E29-лютий!E26</f>
        <v>15180</v>
      </c>
      <c r="O29" s="177">
        <f>F29-лютий!F26</f>
        <v>4408</v>
      </c>
      <c r="P29" s="175">
        <f t="shared" si="6"/>
        <v>-10772</v>
      </c>
      <c r="Q29" s="172">
        <f>O29/N29*100</f>
        <v>29.038208168642953</v>
      </c>
      <c r="R29" s="106"/>
      <c r="S29" s="107"/>
      <c r="T29" s="145">
        <v>15224</v>
      </c>
      <c r="U29" s="239">
        <f t="shared" si="8"/>
        <v>-10816</v>
      </c>
    </row>
    <row r="30" spans="1:21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9902.44</v>
      </c>
      <c r="G30" s="196">
        <f t="shared" si="0"/>
        <v>-2927.5599999999995</v>
      </c>
      <c r="H30" s="197">
        <f t="shared" si="3"/>
        <v>77.18191738113796</v>
      </c>
      <c r="I30" s="198">
        <f t="shared" si="4"/>
        <v>-47630.56</v>
      </c>
      <c r="J30" s="198">
        <f t="shared" si="5"/>
        <v>17.211756730919646</v>
      </c>
      <c r="K30" s="198">
        <v>10893.12</v>
      </c>
      <c r="L30" s="198">
        <f t="shared" si="1"/>
        <v>-990.6800000000003</v>
      </c>
      <c r="M30" s="226">
        <f t="shared" si="2"/>
        <v>0.9090545224875884</v>
      </c>
      <c r="N30" s="234">
        <f>E30-лютий!E27</f>
        <v>4650</v>
      </c>
      <c r="O30" s="234">
        <f>F30-лютий!F27</f>
        <v>1043.2300000000014</v>
      </c>
      <c r="P30" s="198">
        <f t="shared" si="6"/>
        <v>-3606.7699999999986</v>
      </c>
      <c r="Q30" s="198">
        <f>O30/N30*100</f>
        <v>22.43505376344089</v>
      </c>
      <c r="R30" s="106"/>
      <c r="S30" s="107"/>
      <c r="T30" s="145"/>
      <c r="U30" s="239">
        <f t="shared" si="8"/>
        <v>1043.2300000000014</v>
      </c>
    </row>
    <row r="31" spans="1:21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21473.22</v>
      </c>
      <c r="G31" s="196">
        <f t="shared" si="0"/>
        <v>-8531.779999999999</v>
      </c>
      <c r="H31" s="197">
        <f t="shared" si="3"/>
        <v>71.56547242126314</v>
      </c>
      <c r="I31" s="198">
        <f t="shared" si="4"/>
        <v>-103985.78</v>
      </c>
      <c r="J31" s="198">
        <f t="shared" si="5"/>
        <v>17.115727050271403</v>
      </c>
      <c r="K31" s="198">
        <v>24986.12</v>
      </c>
      <c r="L31" s="198">
        <f t="shared" si="1"/>
        <v>-3512.899999999998</v>
      </c>
      <c r="M31" s="226">
        <f t="shared" si="2"/>
        <v>0.8594059421790979</v>
      </c>
      <c r="N31" s="234">
        <f>E31-лютий!E28</f>
        <v>10530</v>
      </c>
      <c r="O31" s="234">
        <f>F31-лютий!F28</f>
        <v>3364.760000000002</v>
      </c>
      <c r="P31" s="198">
        <f t="shared" si="6"/>
        <v>-7165.239999999998</v>
      </c>
      <c r="Q31" s="198">
        <f>O31/N31*100</f>
        <v>31.954036087369442</v>
      </c>
      <c r="R31" s="106"/>
      <c r="S31" s="107"/>
      <c r="T31" s="145"/>
      <c r="U31" s="239">
        <f t="shared" si="8"/>
        <v>3364.760000000002</v>
      </c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39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34.2</v>
      </c>
      <c r="G33" s="148">
        <f t="shared" si="0"/>
        <v>15.200000000000003</v>
      </c>
      <c r="H33" s="155">
        <f t="shared" si="3"/>
        <v>180</v>
      </c>
      <c r="I33" s="156">
        <f t="shared" si="4"/>
        <v>-80.8</v>
      </c>
      <c r="J33" s="156">
        <f t="shared" si="5"/>
        <v>29.739130434782613</v>
      </c>
      <c r="K33" s="156">
        <v>24.81</v>
      </c>
      <c r="L33" s="156">
        <f t="shared" si="1"/>
        <v>9.390000000000004</v>
      </c>
      <c r="M33" s="208">
        <f>F33/K33</f>
        <v>1.3784764207980655</v>
      </c>
      <c r="N33" s="155">
        <f>E33-лютий!E30</f>
        <v>4</v>
      </c>
      <c r="O33" s="158">
        <f>F33-лютий!F30</f>
        <v>0</v>
      </c>
      <c r="P33" s="159">
        <f t="shared" si="6"/>
        <v>-4</v>
      </c>
      <c r="Q33" s="156">
        <f>O33/N33*100</f>
        <v>0</v>
      </c>
      <c r="R33" s="106"/>
      <c r="S33" s="107"/>
      <c r="T33" s="145">
        <v>4.5</v>
      </c>
      <c r="U33" s="239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-18.99</v>
      </c>
      <c r="G34" s="148">
        <f t="shared" si="0"/>
        <v>-18.99</v>
      </c>
      <c r="H34" s="155"/>
      <c r="I34" s="156">
        <f t="shared" si="4"/>
        <v>-18.99</v>
      </c>
      <c r="J34" s="156"/>
      <c r="K34" s="156">
        <v>-81.54</v>
      </c>
      <c r="L34" s="156">
        <f t="shared" si="1"/>
        <v>62.55000000000001</v>
      </c>
      <c r="M34" s="208">
        <f>F34/K34</f>
        <v>0.23289183222958054</v>
      </c>
      <c r="N34" s="155">
        <f>E34-лютий!E31</f>
        <v>0</v>
      </c>
      <c r="O34" s="158">
        <f>F34-лютий!F31</f>
        <v>-8.229999999999999</v>
      </c>
      <c r="P34" s="159">
        <f t="shared" si="6"/>
        <v>-8.229999999999999</v>
      </c>
      <c r="Q34" s="156" t="e">
        <f>O34/N34*100</f>
        <v>#DIV/0!</v>
      </c>
      <c r="R34" s="106"/>
      <c r="S34" s="107"/>
      <c r="T34" s="145"/>
      <c r="U34" s="239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50378.7</v>
      </c>
      <c r="F35" s="161">
        <v>52914.46</v>
      </c>
      <c r="G35" s="160">
        <f t="shared" si="0"/>
        <v>2535.760000000002</v>
      </c>
      <c r="H35" s="162">
        <f t="shared" si="3"/>
        <v>105.0333970507377</v>
      </c>
      <c r="I35" s="163">
        <f t="shared" si="4"/>
        <v>-141479.64</v>
      </c>
      <c r="J35" s="163">
        <f t="shared" si="5"/>
        <v>27.22019855540883</v>
      </c>
      <c r="K35" s="176">
        <v>38612.71</v>
      </c>
      <c r="L35" s="176">
        <f>F35-K35</f>
        <v>14301.75</v>
      </c>
      <c r="M35" s="224">
        <f>F35/K35</f>
        <v>1.3703896981071777</v>
      </c>
      <c r="N35" s="155">
        <f>E35-лютий!E32</f>
        <v>6550</v>
      </c>
      <c r="O35" s="158">
        <f>F35-лютий!F32</f>
        <v>5285.9000000000015</v>
      </c>
      <c r="P35" s="165">
        <f t="shared" si="6"/>
        <v>-1264.0999999999985</v>
      </c>
      <c r="Q35" s="163">
        <f>O35/N35*100</f>
        <v>80.70076335877864</v>
      </c>
      <c r="R35" s="106"/>
      <c r="S35" s="107"/>
      <c r="T35" s="145">
        <v>6650</v>
      </c>
      <c r="U35" s="239">
        <f t="shared" si="8"/>
        <v>-1364.0999999999985</v>
      </c>
    </row>
    <row r="36" spans="1:21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39">
        <f t="shared" si="8"/>
        <v>0</v>
      </c>
    </row>
    <row r="37" spans="1:21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v>10160</v>
      </c>
      <c r="F37" s="138">
        <v>10221.31</v>
      </c>
      <c r="G37" s="102">
        <f t="shared" si="0"/>
        <v>61.30999999999949</v>
      </c>
      <c r="H37" s="104">
        <f t="shared" si="3"/>
        <v>100.60344488188977</v>
      </c>
      <c r="I37" s="103">
        <f t="shared" si="4"/>
        <v>-30778.690000000002</v>
      </c>
      <c r="J37" s="103">
        <f t="shared" si="5"/>
        <v>24.9300243902439</v>
      </c>
      <c r="K37" s="126">
        <v>9812.49</v>
      </c>
      <c r="L37" s="126">
        <f t="shared" si="1"/>
        <v>408.8199999999997</v>
      </c>
      <c r="M37" s="214">
        <f t="shared" si="9"/>
        <v>1.0416632271727155</v>
      </c>
      <c r="N37" s="104">
        <f>E37-лютий!E34</f>
        <v>1050</v>
      </c>
      <c r="O37" s="142">
        <f>F37-лютий!F34</f>
        <v>465.35999999999876</v>
      </c>
      <c r="P37" s="105">
        <f t="shared" si="6"/>
        <v>-584.6400000000012</v>
      </c>
      <c r="Q37" s="103">
        <f>O37/N37*100</f>
        <v>44.31999999999988</v>
      </c>
      <c r="R37" s="106"/>
      <c r="S37" s="107"/>
      <c r="T37" s="145"/>
      <c r="U37" s="239">
        <f t="shared" si="8"/>
        <v>465.35999999999876</v>
      </c>
    </row>
    <row r="38" spans="1:21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v>40200</v>
      </c>
      <c r="F38" s="138">
        <v>42677.04</v>
      </c>
      <c r="G38" s="102">
        <f t="shared" si="0"/>
        <v>2477.040000000001</v>
      </c>
      <c r="H38" s="104">
        <f t="shared" si="3"/>
        <v>106.16179104477612</v>
      </c>
      <c r="I38" s="103">
        <f t="shared" si="4"/>
        <v>-110662.06</v>
      </c>
      <c r="J38" s="103">
        <f t="shared" si="5"/>
        <v>27.831805456012198</v>
      </c>
      <c r="K38" s="126">
        <v>28792.38</v>
      </c>
      <c r="L38" s="126">
        <f t="shared" si="1"/>
        <v>13884.66</v>
      </c>
      <c r="M38" s="214">
        <f t="shared" si="9"/>
        <v>1.4822338410371076</v>
      </c>
      <c r="N38" s="104">
        <f>E38-лютий!E35</f>
        <v>5500</v>
      </c>
      <c r="O38" s="142">
        <f>F38-лютий!F35</f>
        <v>4820.540000000001</v>
      </c>
      <c r="P38" s="105">
        <f t="shared" si="6"/>
        <v>-679.4599999999991</v>
      </c>
      <c r="Q38" s="103">
        <f>O38/N38*100</f>
        <v>87.64618181818183</v>
      </c>
      <c r="R38" s="106"/>
      <c r="S38" s="107"/>
      <c r="T38" s="145"/>
      <c r="U38" s="239">
        <f t="shared" si="8"/>
        <v>4820.540000000001</v>
      </c>
    </row>
    <row r="39" spans="1:21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39">
        <f t="shared" si="8"/>
        <v>0</v>
      </c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39">
        <f t="shared" si="8"/>
        <v>0</v>
      </c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12913.7</v>
      </c>
      <c r="F41" s="149">
        <f>F42+F43+F44+F45+F46+F48+F50+F51+F52+F53+F54+F59+F60+F64+F47</f>
        <v>12894.98</v>
      </c>
      <c r="G41" s="149">
        <f>G42+G43+G44+G45+G46+G48+G50+G51+G52+G53+G54+G59+G60+G64</f>
        <v>7.969999999999985</v>
      </c>
      <c r="H41" s="150">
        <f>F41/E41*100</f>
        <v>99.8550376731688</v>
      </c>
      <c r="I41" s="151">
        <f>F41-D41</f>
        <v>-46130.020000000004</v>
      </c>
      <c r="J41" s="151">
        <f>F41/D41*100</f>
        <v>21.846641253706057</v>
      </c>
      <c r="K41" s="149">
        <v>10672.26</v>
      </c>
      <c r="L41" s="149">
        <f t="shared" si="1"/>
        <v>2222.7199999999993</v>
      </c>
      <c r="M41" s="203">
        <f t="shared" si="9"/>
        <v>1.2082707880055394</v>
      </c>
      <c r="N41" s="149">
        <f>N42+N43+N44+N45+N46+N48+N50+N51+N52+N53+N54+N59+N60+N64+N47</f>
        <v>5139.6</v>
      </c>
      <c r="O41" s="149">
        <f>O42+O43+O44+O45+O46+O48+O50+O51+O52+O53+O54+O59+O60+O64+O47</f>
        <v>4203.35</v>
      </c>
      <c r="P41" s="149">
        <f>P42+P43+P44+P45+P46+P48+P50+P51+P52+P53+P54+P59+P60+P64</f>
        <v>-923.1599999999997</v>
      </c>
      <c r="Q41" s="149">
        <f>O41/N41*100</f>
        <v>81.78360183671882</v>
      </c>
      <c r="R41" s="15" t="e">
        <f>#N/A</f>
        <v>#N/A</v>
      </c>
      <c r="S41" s="15" t="e">
        <f>#N/A</f>
        <v>#N/A</v>
      </c>
      <c r="T41" s="145"/>
      <c r="U41" s="239"/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39">
        <f t="shared" si="8"/>
        <v>0</v>
      </c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39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62.08</v>
      </c>
      <c r="G44" s="160">
        <f t="shared" si="12"/>
        <v>43.08</v>
      </c>
      <c r="H44" s="162">
        <f>F44/E44*100</f>
        <v>326.7368421052632</v>
      </c>
      <c r="I44" s="163">
        <f t="shared" si="13"/>
        <v>22.08</v>
      </c>
      <c r="J44" s="163">
        <f aca="true" t="shared" si="15" ref="J44:J65">F44/D44*100</f>
        <v>155.20000000000002</v>
      </c>
      <c r="K44" s="163">
        <v>26.96</v>
      </c>
      <c r="L44" s="163">
        <f t="shared" si="1"/>
        <v>35.12</v>
      </c>
      <c r="M44" s="216">
        <f aca="true" t="shared" si="16" ref="M44:M66">F44/K44</f>
        <v>2.3026706231454006</v>
      </c>
      <c r="N44" s="162">
        <f>E44-лютий!E41</f>
        <v>3</v>
      </c>
      <c r="O44" s="166">
        <f>F44-лютий!F41</f>
        <v>5</v>
      </c>
      <c r="P44" s="165">
        <f t="shared" si="14"/>
        <v>2</v>
      </c>
      <c r="Q44" s="163">
        <f t="shared" si="11"/>
        <v>166.66666666666669</v>
      </c>
      <c r="R44" s="36"/>
      <c r="S44" s="93"/>
      <c r="T44" s="145"/>
      <c r="U44" s="239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39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238.77</v>
      </c>
      <c r="G46" s="160">
        <f t="shared" si="12"/>
        <v>176.77</v>
      </c>
      <c r="H46" s="162">
        <f t="shared" si="10"/>
        <v>385.11290322580646</v>
      </c>
      <c r="I46" s="163">
        <f t="shared" si="13"/>
        <v>-21.22999999999999</v>
      </c>
      <c r="J46" s="163">
        <f t="shared" si="15"/>
        <v>91.83461538461539</v>
      </c>
      <c r="K46" s="163">
        <v>20.4</v>
      </c>
      <c r="L46" s="163">
        <f t="shared" si="1"/>
        <v>218.37</v>
      </c>
      <c r="M46" s="216">
        <f t="shared" si="16"/>
        <v>11.704411764705883</v>
      </c>
      <c r="N46" s="162">
        <f>E46-лютий!E43</f>
        <v>22</v>
      </c>
      <c r="O46" s="166">
        <f>F46-лютий!F43</f>
        <v>156.69</v>
      </c>
      <c r="P46" s="165">
        <f t="shared" si="14"/>
        <v>134.69</v>
      </c>
      <c r="Q46" s="163">
        <f t="shared" si="11"/>
        <v>712.2272727272727</v>
      </c>
      <c r="R46" s="36"/>
      <c r="S46" s="93"/>
      <c r="T46" s="145"/>
      <c r="U46" s="239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39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180</v>
      </c>
      <c r="F48" s="154">
        <v>249.64</v>
      </c>
      <c r="G48" s="160">
        <f t="shared" si="12"/>
        <v>69.63999999999999</v>
      </c>
      <c r="H48" s="162">
        <f t="shared" si="10"/>
        <v>138.6888888888889</v>
      </c>
      <c r="I48" s="163">
        <f t="shared" si="13"/>
        <v>-480.36</v>
      </c>
      <c r="J48" s="163">
        <f t="shared" si="15"/>
        <v>34.1972602739726</v>
      </c>
      <c r="K48" s="163">
        <v>0</v>
      </c>
      <c r="L48" s="163">
        <f t="shared" si="1"/>
        <v>249.64</v>
      </c>
      <c r="M48" s="216"/>
      <c r="N48" s="162">
        <f>E48-лютий!E45</f>
        <v>60</v>
      </c>
      <c r="O48" s="166">
        <f>F48-лютий!F45</f>
        <v>57.25</v>
      </c>
      <c r="P48" s="165">
        <f t="shared" si="14"/>
        <v>-2.75</v>
      </c>
      <c r="Q48" s="163">
        <f t="shared" si="11"/>
        <v>95.41666666666667</v>
      </c>
      <c r="R48" s="36"/>
      <c r="S48" s="93"/>
      <c r="T48" s="145"/>
      <c r="U48" s="239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39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2300</v>
      </c>
      <c r="F50" s="154">
        <v>2897.79</v>
      </c>
      <c r="G50" s="160">
        <f t="shared" si="12"/>
        <v>597.79</v>
      </c>
      <c r="H50" s="162">
        <f t="shared" si="10"/>
        <v>125.9908695652174</v>
      </c>
      <c r="I50" s="163">
        <f t="shared" si="13"/>
        <v>-8102.21</v>
      </c>
      <c r="J50" s="163">
        <f t="shared" si="15"/>
        <v>26.343545454545453</v>
      </c>
      <c r="K50" s="163">
        <v>2339.58</v>
      </c>
      <c r="L50" s="163">
        <f t="shared" si="1"/>
        <v>558.21</v>
      </c>
      <c r="M50" s="216">
        <f t="shared" si="16"/>
        <v>1.238594106634524</v>
      </c>
      <c r="N50" s="162">
        <f>E50-лютий!E47</f>
        <v>900</v>
      </c>
      <c r="O50" s="166">
        <f>F50-лютий!F47</f>
        <v>754.0700000000002</v>
      </c>
      <c r="P50" s="165">
        <f t="shared" si="14"/>
        <v>-145.92999999999984</v>
      </c>
      <c r="Q50" s="163">
        <f t="shared" si="11"/>
        <v>83.78555555555558</v>
      </c>
      <c r="R50" s="36"/>
      <c r="S50" s="93"/>
      <c r="T50" s="145"/>
      <c r="U50" s="239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112.58</v>
      </c>
      <c r="G51" s="160">
        <f t="shared" si="12"/>
        <v>37.58</v>
      </c>
      <c r="H51" s="162">
        <f t="shared" si="10"/>
        <v>150.10666666666665</v>
      </c>
      <c r="I51" s="163">
        <f t="shared" si="13"/>
        <v>-197.42000000000002</v>
      </c>
      <c r="J51" s="163">
        <f t="shared" si="15"/>
        <v>36.31612903225807</v>
      </c>
      <c r="K51" s="163">
        <v>1.2</v>
      </c>
      <c r="L51" s="163">
        <f t="shared" si="1"/>
        <v>111.38</v>
      </c>
      <c r="M51" s="216"/>
      <c r="N51" s="162">
        <f>E51-лютий!E48</f>
        <v>25</v>
      </c>
      <c r="O51" s="166">
        <f>F51-лютий!F48</f>
        <v>22.14</v>
      </c>
      <c r="P51" s="165">
        <f t="shared" si="14"/>
        <v>-2.8599999999999994</v>
      </c>
      <c r="Q51" s="163">
        <f t="shared" si="11"/>
        <v>88.56</v>
      </c>
      <c r="R51" s="36"/>
      <c r="S51" s="93"/>
      <c r="T51" s="145"/>
      <c r="U51" s="239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1.6</v>
      </c>
      <c r="G52" s="160">
        <f t="shared" si="12"/>
        <v>-1.4</v>
      </c>
      <c r="H52" s="162">
        <f t="shared" si="10"/>
        <v>53.333333333333336</v>
      </c>
      <c r="I52" s="163">
        <f t="shared" si="13"/>
        <v>-18.4</v>
      </c>
      <c r="J52" s="163">
        <f t="shared" si="15"/>
        <v>8</v>
      </c>
      <c r="K52" s="163">
        <v>0</v>
      </c>
      <c r="L52" s="163">
        <f t="shared" si="1"/>
        <v>1.6</v>
      </c>
      <c r="M52" s="216"/>
      <c r="N52" s="162">
        <f>E52-лютий!E49</f>
        <v>1</v>
      </c>
      <c r="O52" s="166">
        <f>F52-лютий!F49</f>
        <v>1.6</v>
      </c>
      <c r="P52" s="165">
        <f t="shared" si="14"/>
        <v>0.6000000000000001</v>
      </c>
      <c r="Q52" s="163">
        <f t="shared" si="11"/>
        <v>160</v>
      </c>
      <c r="R52" s="36"/>
      <c r="S52" s="93"/>
      <c r="T52" s="145"/>
      <c r="U52" s="239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39"/>
    </row>
    <row r="54" spans="1:21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128.23</v>
      </c>
      <c r="G54" s="160">
        <f t="shared" si="12"/>
        <v>-106.77000000000001</v>
      </c>
      <c r="H54" s="162">
        <f t="shared" si="10"/>
        <v>54.56595744680851</v>
      </c>
      <c r="I54" s="163">
        <f t="shared" si="13"/>
        <v>-1071.77</v>
      </c>
      <c r="J54" s="163">
        <f t="shared" si="15"/>
        <v>10.685833333333331</v>
      </c>
      <c r="K54" s="163">
        <v>1500.1</v>
      </c>
      <c r="L54" s="163">
        <f t="shared" si="1"/>
        <v>-1371.87</v>
      </c>
      <c r="M54" s="216">
        <f t="shared" si="16"/>
        <v>0.08548096793547097</v>
      </c>
      <c r="N54" s="162">
        <f>E54-лютий!E51</f>
        <v>95</v>
      </c>
      <c r="O54" s="166">
        <f>F54-лютий!F51</f>
        <v>39.17999999999999</v>
      </c>
      <c r="P54" s="165">
        <f t="shared" si="14"/>
        <v>-55.82000000000001</v>
      </c>
      <c r="Q54" s="163">
        <f t="shared" si="11"/>
        <v>41.24210526315789</v>
      </c>
      <c r="R54" s="36"/>
      <c r="S54" s="93"/>
      <c r="T54" s="145"/>
      <c r="U54" s="239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107.85</v>
      </c>
      <c r="G55" s="33">
        <f t="shared" si="12"/>
        <v>-82.15</v>
      </c>
      <c r="H55" s="29">
        <f t="shared" si="10"/>
        <v>56.763157894736835</v>
      </c>
      <c r="I55" s="103">
        <f t="shared" si="13"/>
        <v>-890.15</v>
      </c>
      <c r="J55" s="103">
        <f t="shared" si="15"/>
        <v>10.806613226452905</v>
      </c>
      <c r="K55" s="103">
        <v>163.68</v>
      </c>
      <c r="L55" s="103">
        <f>F55-K55</f>
        <v>-55.83000000000001</v>
      </c>
      <c r="M55" s="108">
        <f t="shared" si="16"/>
        <v>0.658907624633431</v>
      </c>
      <c r="N55" s="104">
        <f>E55-лютий!E52</f>
        <v>80</v>
      </c>
      <c r="O55" s="142">
        <f>F55-лютий!F52</f>
        <v>34.14</v>
      </c>
      <c r="P55" s="105">
        <f t="shared" si="14"/>
        <v>-45.86</v>
      </c>
      <c r="Q55" s="118">
        <f t="shared" si="11"/>
        <v>42.675000000000004</v>
      </c>
      <c r="R55" s="36"/>
      <c r="S55" s="93"/>
      <c r="T55" s="145"/>
      <c r="U55" s="239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39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39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20.28</v>
      </c>
      <c r="G58" s="33">
        <f t="shared" si="12"/>
        <v>-24.72</v>
      </c>
      <c r="H58" s="29">
        <f t="shared" si="10"/>
        <v>45.06666666666667</v>
      </c>
      <c r="I58" s="103">
        <f t="shared" si="13"/>
        <v>-179.72</v>
      </c>
      <c r="J58" s="103">
        <f t="shared" si="15"/>
        <v>10.14</v>
      </c>
      <c r="K58" s="103">
        <v>1336.3</v>
      </c>
      <c r="L58" s="103">
        <f>F58-K58</f>
        <v>-1316.02</v>
      </c>
      <c r="M58" s="108">
        <f t="shared" si="16"/>
        <v>0.015176232881837911</v>
      </c>
      <c r="N58" s="104">
        <f>E58-лютий!E55</f>
        <v>15</v>
      </c>
      <c r="O58" s="142">
        <f>F58-лютий!F55</f>
        <v>5.040000000000001</v>
      </c>
      <c r="P58" s="105">
        <f t="shared" si="14"/>
        <v>-9.959999999999999</v>
      </c>
      <c r="Q58" s="118">
        <f t="shared" si="11"/>
        <v>33.60000000000001</v>
      </c>
      <c r="R58" s="36"/>
      <c r="S58" s="93"/>
      <c r="T58" s="145"/>
      <c r="U58" s="239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1.67</v>
      </c>
      <c r="G59" s="160">
        <f t="shared" si="12"/>
        <v>-0.8300000000000001</v>
      </c>
      <c r="H59" s="162"/>
      <c r="I59" s="163">
        <f t="shared" si="13"/>
        <v>-0.8300000000000001</v>
      </c>
      <c r="J59" s="163">
        <f t="shared" si="15"/>
        <v>66.8</v>
      </c>
      <c r="K59" s="163">
        <v>2.46</v>
      </c>
      <c r="L59" s="163">
        <f>F59-K59</f>
        <v>-0.79</v>
      </c>
      <c r="M59" s="216">
        <f t="shared" si="16"/>
        <v>0.6788617886178862</v>
      </c>
      <c r="N59" s="162">
        <f>E59-лютий!E56</f>
        <v>0</v>
      </c>
      <c r="O59" s="166">
        <f>F59-лютий!F56</f>
        <v>0</v>
      </c>
      <c r="P59" s="165">
        <f t="shared" si="14"/>
        <v>0</v>
      </c>
      <c r="Q59" s="163"/>
      <c r="R59" s="36"/>
      <c r="S59" s="93"/>
      <c r="T59" s="145"/>
      <c r="U59" s="239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2800</v>
      </c>
      <c r="F60" s="154">
        <v>3027.08</v>
      </c>
      <c r="G60" s="160">
        <f t="shared" si="12"/>
        <v>227.07999999999993</v>
      </c>
      <c r="H60" s="162">
        <f t="shared" si="10"/>
        <v>108.11</v>
      </c>
      <c r="I60" s="163">
        <f t="shared" si="13"/>
        <v>-4322.92</v>
      </c>
      <c r="J60" s="163">
        <f t="shared" si="15"/>
        <v>41.1847619047619</v>
      </c>
      <c r="K60" s="163">
        <v>1114.84</v>
      </c>
      <c r="L60" s="163">
        <f aca="true" t="shared" si="17" ref="L60:L66">F60-K60</f>
        <v>1912.24</v>
      </c>
      <c r="M60" s="216">
        <f t="shared" si="16"/>
        <v>2.7152595888199205</v>
      </c>
      <c r="N60" s="162">
        <f>E60-лютий!E57</f>
        <v>600</v>
      </c>
      <c r="O60" s="166">
        <f>F60-лютий!F57</f>
        <v>315.6500000000001</v>
      </c>
      <c r="P60" s="165">
        <f t="shared" si="14"/>
        <v>-284.3499999999999</v>
      </c>
      <c r="Q60" s="163">
        <f t="shared" si="11"/>
        <v>52.60833333333335</v>
      </c>
      <c r="R60" s="36"/>
      <c r="S60" s="93"/>
      <c r="T60" s="145"/>
      <c r="U60" s="239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39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406.32</v>
      </c>
      <c r="G62" s="160"/>
      <c r="H62" s="162"/>
      <c r="I62" s="163"/>
      <c r="J62" s="163"/>
      <c r="K62" s="164">
        <v>230.44</v>
      </c>
      <c r="L62" s="163">
        <f t="shared" si="17"/>
        <v>175.88</v>
      </c>
      <c r="M62" s="216">
        <f t="shared" si="16"/>
        <v>1.7632355493837875</v>
      </c>
      <c r="N62" s="193">
        <f>E62-лютий!E59</f>
        <v>0</v>
      </c>
      <c r="O62" s="177">
        <f>F62-лютий!F59</f>
        <v>120.99000000000001</v>
      </c>
      <c r="P62" s="164"/>
      <c r="Q62" s="163"/>
      <c r="R62" s="36"/>
      <c r="S62" s="93"/>
      <c r="T62" s="145"/>
      <c r="U62" s="239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39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39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39">
        <f>O65-T65</f>
        <v>5.37</v>
      </c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39"/>
    </row>
    <row r="67" spans="1:21" s="6" customFormat="1" ht="18">
      <c r="A67" s="9"/>
      <c r="B67" s="14" t="s">
        <v>28</v>
      </c>
      <c r="C67" s="61"/>
      <c r="D67" s="149">
        <f>D8+D41+D65+D66</f>
        <v>1357491.1</v>
      </c>
      <c r="E67" s="149">
        <f>E8+E41+E65+E66</f>
        <v>298356.9</v>
      </c>
      <c r="F67" s="149">
        <f>F8+F41+F65+F66</f>
        <v>259802.56999999998</v>
      </c>
      <c r="G67" s="149">
        <f>F67-E67</f>
        <v>-38554.330000000045</v>
      </c>
      <c r="H67" s="150">
        <f>F67/E67*100</f>
        <v>87.07778167691109</v>
      </c>
      <c r="I67" s="151">
        <f>F67-D67</f>
        <v>-1097688.53</v>
      </c>
      <c r="J67" s="151">
        <f>F67/D67*100</f>
        <v>19.138436340392946</v>
      </c>
      <c r="K67" s="151">
        <v>220465.78</v>
      </c>
      <c r="L67" s="151">
        <f>F67-K67</f>
        <v>39336.78999999998</v>
      </c>
      <c r="M67" s="217">
        <f>F67/K67</f>
        <v>1.1784258309838378</v>
      </c>
      <c r="N67" s="149">
        <f>N8+N41+N65+N66</f>
        <v>94334.8</v>
      </c>
      <c r="O67" s="149">
        <f>O8+O41+O65+O66</f>
        <v>56276.199999999975</v>
      </c>
      <c r="P67" s="153">
        <f>O67-N67</f>
        <v>-38058.60000000003</v>
      </c>
      <c r="Q67" s="151">
        <f>O67/N67*100</f>
        <v>59.655821605600444</v>
      </c>
      <c r="R67" s="26">
        <f>O67-34768</f>
        <v>21508.199999999975</v>
      </c>
      <c r="S67" s="114">
        <f>O67/34768</f>
        <v>1.618620570639668</v>
      </c>
      <c r="T67" s="145"/>
      <c r="U67" s="239"/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0"/>
      <c r="U68" s="244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0"/>
      <c r="U69" s="244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0"/>
      <c r="U70" s="24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3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0.09</v>
      </c>
      <c r="G76" s="160">
        <f aca="true" t="shared" si="18" ref="G76:G87">F76-E76</f>
        <v>0.09</v>
      </c>
      <c r="H76" s="162"/>
      <c r="I76" s="165">
        <f aca="true" t="shared" si="19" ref="I76:I87">F76-D76</f>
        <v>-104205.94</v>
      </c>
      <c r="J76" s="165">
        <f>F76/D76*100</f>
        <v>8.636736281000245E-05</v>
      </c>
      <c r="K76" s="165">
        <v>0.15</v>
      </c>
      <c r="L76" s="165">
        <f aca="true" t="shared" si="20" ref="L76:L87">F76-K76</f>
        <v>-0.06</v>
      </c>
      <c r="M76" s="207">
        <f>F76/K76</f>
        <v>0.6</v>
      </c>
      <c r="N76" s="162">
        <f>E76-лютий!E73</f>
        <v>0</v>
      </c>
      <c r="O76" s="166">
        <f>F76-лютий!F73</f>
        <v>0.01999999999999999</v>
      </c>
      <c r="P76" s="165">
        <f aca="true" t="shared" si="21" ref="P76:P89">O76-N76</f>
        <v>0.01999999999999999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64.31</v>
      </c>
      <c r="G77" s="160">
        <f t="shared" si="18"/>
        <v>-4765.69</v>
      </c>
      <c r="H77" s="162">
        <f>F77/E77*100</f>
        <v>1.3314699792960663</v>
      </c>
      <c r="I77" s="165">
        <f t="shared" si="19"/>
        <v>-53935.69</v>
      </c>
      <c r="J77" s="165">
        <f>F77/D77*100</f>
        <v>0.1190925925925926</v>
      </c>
      <c r="K77" s="165">
        <v>318.64</v>
      </c>
      <c r="L77" s="165">
        <f t="shared" si="20"/>
        <v>-254.32999999999998</v>
      </c>
      <c r="M77" s="207">
        <f>F77/K77</f>
        <v>0.20182651267888527</v>
      </c>
      <c r="N77" s="162">
        <f>E77-лютий!E74</f>
        <v>3600</v>
      </c>
      <c r="O77" s="166">
        <f>F77-лютий!F74</f>
        <v>15.969999999999999</v>
      </c>
      <c r="P77" s="165">
        <f t="shared" si="21"/>
        <v>-3584.03</v>
      </c>
      <c r="Q77" s="165">
        <f>O77/N77*100</f>
        <v>0.4436111111111111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1281.64</v>
      </c>
      <c r="G80" s="183">
        <f t="shared" si="18"/>
        <v>-8201.36</v>
      </c>
      <c r="H80" s="184">
        <f>F80/E80*100</f>
        <v>13.51513234208584</v>
      </c>
      <c r="I80" s="185">
        <f t="shared" si="19"/>
        <v>-235936.38999999998</v>
      </c>
      <c r="J80" s="185">
        <f>F80/D80*100</f>
        <v>0.5402793371144682</v>
      </c>
      <c r="K80" s="185">
        <v>8278.87</v>
      </c>
      <c r="L80" s="185">
        <f t="shared" si="20"/>
        <v>-6997.2300000000005</v>
      </c>
      <c r="M80" s="212">
        <f>F80/K80</f>
        <v>0.15480856686963318</v>
      </c>
      <c r="N80" s="183">
        <f>N76+N77+N78+N79</f>
        <v>7451</v>
      </c>
      <c r="O80" s="187">
        <f>O76+O77+O78+O79</f>
        <v>128.6400000000001</v>
      </c>
      <c r="P80" s="185">
        <f t="shared" si="21"/>
        <v>-7322.36</v>
      </c>
      <c r="Q80" s="185">
        <f>O80/N80*100</f>
        <v>1.7264796671587719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2217.27</v>
      </c>
      <c r="G83" s="160">
        <f t="shared" si="18"/>
        <v>-139.0300000000002</v>
      </c>
      <c r="H83" s="162">
        <f>F83/E83*100</f>
        <v>94.09964775283282</v>
      </c>
      <c r="I83" s="165">
        <f t="shared" si="19"/>
        <v>-6142.73</v>
      </c>
      <c r="J83" s="165">
        <f>F83/D83*100</f>
        <v>26.522368421052633</v>
      </c>
      <c r="K83" s="165">
        <v>2019</v>
      </c>
      <c r="L83" s="165">
        <f t="shared" si="20"/>
        <v>198.26999999999998</v>
      </c>
      <c r="M83" s="207"/>
      <c r="N83" s="162">
        <f>E83-лютий!E80</f>
        <v>6.300000000000182</v>
      </c>
      <c r="O83" s="166">
        <f>F83-лютий!F80</f>
        <v>0.03999999999996362</v>
      </c>
      <c r="P83" s="165">
        <f>O83-N83</f>
        <v>-6.260000000000218</v>
      </c>
      <c r="Q83" s="188">
        <f>O83/N83*100</f>
        <v>0.6349206349200391</v>
      </c>
      <c r="R83" s="40"/>
      <c r="S83" s="98"/>
      <c r="T83" s="28">
        <v>3.8</v>
      </c>
      <c r="U83" s="243">
        <f>O83-T83</f>
        <v>-3.760000000000036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2226.08</v>
      </c>
      <c r="G85" s="181">
        <f>G81+G84+G82+G83</f>
        <v>-130.7200000000002</v>
      </c>
      <c r="H85" s="184">
        <f>F85/E85*100</f>
        <v>94.45349626612355</v>
      </c>
      <c r="I85" s="185">
        <f t="shared" si="19"/>
        <v>-6173.92</v>
      </c>
      <c r="J85" s="185">
        <f>F85/D85*100</f>
        <v>26.50095238095238</v>
      </c>
      <c r="K85" s="185">
        <v>2019.85</v>
      </c>
      <c r="L85" s="185">
        <f t="shared" si="20"/>
        <v>206.23000000000002</v>
      </c>
      <c r="M85" s="218">
        <f t="shared" si="22"/>
        <v>1.102101641210981</v>
      </c>
      <c r="N85" s="183">
        <f>N81+N84+N82+N83</f>
        <v>6.800000000000182</v>
      </c>
      <c r="O85" s="187">
        <f>O81+O84+O82+O83</f>
        <v>0.03999999999996362</v>
      </c>
      <c r="P85" s="183">
        <f>P81+P84+P82+P83</f>
        <v>-6.760000000000218</v>
      </c>
      <c r="Q85" s="185">
        <f>O85/N85*100</f>
        <v>0.5882352941170964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1.12</v>
      </c>
      <c r="G86" s="160">
        <f t="shared" si="18"/>
        <v>-11.780000000000001</v>
      </c>
      <c r="H86" s="162">
        <f>F86/E86*100</f>
        <v>8.68217054263566</v>
      </c>
      <c r="I86" s="165">
        <f t="shared" si="19"/>
        <v>-36.88</v>
      </c>
      <c r="J86" s="165">
        <f>F86/D86*100</f>
        <v>2.947368421052632</v>
      </c>
      <c r="K86" s="165">
        <v>9.19</v>
      </c>
      <c r="L86" s="165">
        <f t="shared" si="20"/>
        <v>-8.07</v>
      </c>
      <c r="M86" s="207">
        <f t="shared" si="22"/>
        <v>0.1218715995647443</v>
      </c>
      <c r="N86" s="162">
        <f>E86-лютий!E83</f>
        <v>8</v>
      </c>
      <c r="O86" s="166">
        <f>F86-лютий!F83</f>
        <v>0.16000000000000014</v>
      </c>
      <c r="P86" s="165">
        <f t="shared" si="21"/>
        <v>-7.84</v>
      </c>
      <c r="Q86" s="165">
        <f>O86/N86</f>
        <v>0.020000000000000018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26.66</v>
      </c>
      <c r="G87" s="160">
        <f t="shared" si="18"/>
        <v>26.66</v>
      </c>
      <c r="H87" s="162"/>
      <c r="I87" s="165">
        <f t="shared" si="19"/>
        <v>26.66</v>
      </c>
      <c r="J87" s="165"/>
      <c r="K87" s="165">
        <v>0</v>
      </c>
      <c r="L87" s="165">
        <f t="shared" si="20"/>
        <v>26.66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3535.51</v>
      </c>
      <c r="G88" s="190">
        <f>F88-E88</f>
        <v>-8317.19</v>
      </c>
      <c r="H88" s="191">
        <f>F88/E88*100</f>
        <v>29.828731006437355</v>
      </c>
      <c r="I88" s="192">
        <f>F88-D88</f>
        <v>-242120.52</v>
      </c>
      <c r="J88" s="192">
        <f>F88/D88*100</f>
        <v>1.4392115674913415</v>
      </c>
      <c r="K88" s="192">
        <v>10307.64</v>
      </c>
      <c r="L88" s="192">
        <f>F88-K88</f>
        <v>-6772.129999999999</v>
      </c>
      <c r="M88" s="219">
        <f t="shared" si="22"/>
        <v>0.34299897939780594</v>
      </c>
      <c r="N88" s="189">
        <f>N74+N86+N80+N85+N87</f>
        <v>7465.8</v>
      </c>
      <c r="O88" s="189">
        <f>O74+O86+O80+O85+O87</f>
        <v>128.84000000000006</v>
      </c>
      <c r="P88" s="192">
        <f t="shared" si="21"/>
        <v>-7336.96</v>
      </c>
      <c r="Q88" s="192">
        <f>O88/N88*100</f>
        <v>1.725736022931234</v>
      </c>
      <c r="R88" s="26">
        <f>O88-8104.96</f>
        <v>-7976.12</v>
      </c>
      <c r="S88" s="94">
        <f>O88/8104.96</f>
        <v>0.01589643872394189</v>
      </c>
    </row>
    <row r="89" spans="2:19" ht="17.25">
      <c r="B89" s="21" t="s">
        <v>32</v>
      </c>
      <c r="C89" s="65"/>
      <c r="D89" s="189">
        <f>D67+D88</f>
        <v>1603147.1300000001</v>
      </c>
      <c r="E89" s="189">
        <f>E67+E88</f>
        <v>310209.60000000003</v>
      </c>
      <c r="F89" s="189">
        <f>F67+F88</f>
        <v>263338.07999999996</v>
      </c>
      <c r="G89" s="190">
        <f>F89-E89</f>
        <v>-46871.52000000008</v>
      </c>
      <c r="H89" s="191">
        <f>F89/E89*100</f>
        <v>84.89037089761243</v>
      </c>
      <c r="I89" s="192">
        <f>F89-D89</f>
        <v>-1339809.0500000003</v>
      </c>
      <c r="J89" s="192">
        <f>F89/D89*100</f>
        <v>16.426320146922507</v>
      </c>
      <c r="K89" s="192">
        <f>K67+K88</f>
        <v>230773.41999999998</v>
      </c>
      <c r="L89" s="192">
        <f>F89-K89</f>
        <v>32564.659999999974</v>
      </c>
      <c r="M89" s="219">
        <f t="shared" si="22"/>
        <v>1.1411109650322813</v>
      </c>
      <c r="N89" s="190">
        <f>N67+N88</f>
        <v>101800.6</v>
      </c>
      <c r="O89" s="190">
        <f>O67+O88</f>
        <v>56405.03999999997</v>
      </c>
      <c r="P89" s="192">
        <f t="shared" si="21"/>
        <v>-45395.560000000034</v>
      </c>
      <c r="Q89" s="192">
        <f>O89/N89*100</f>
        <v>55.407374809185775</v>
      </c>
      <c r="R89" s="26">
        <f>O89-42872.96</f>
        <v>13532.079999999973</v>
      </c>
      <c r="S89" s="94">
        <f>O89/42872.96</f>
        <v>1.3156320440669358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11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3459.8727272727297</v>
      </c>
      <c r="D92" s="4" t="s">
        <v>24</v>
      </c>
      <c r="G92" s="279"/>
      <c r="H92" s="279"/>
      <c r="I92" s="279"/>
      <c r="J92" s="279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42811</v>
      </c>
      <c r="D93" s="28">
        <v>3476.7</v>
      </c>
      <c r="G93" s="4" t="s">
        <v>58</v>
      </c>
      <c r="O93" s="280"/>
      <c r="P93" s="280"/>
    </row>
    <row r="94" spans="3:16" ht="15">
      <c r="C94" s="80">
        <v>42810</v>
      </c>
      <c r="D94" s="28">
        <v>4014.5</v>
      </c>
      <c r="F94" s="112" t="s">
        <v>58</v>
      </c>
      <c r="G94" s="281"/>
      <c r="H94" s="281"/>
      <c r="I94" s="117"/>
      <c r="J94" s="282"/>
      <c r="K94" s="282"/>
      <c r="L94" s="282"/>
      <c r="M94" s="282"/>
      <c r="N94" s="282"/>
      <c r="O94" s="280"/>
      <c r="P94" s="280"/>
    </row>
    <row r="95" spans="3:16" ht="15.75" customHeight="1">
      <c r="C95" s="80">
        <v>42809</v>
      </c>
      <c r="D95" s="28">
        <v>14652.3</v>
      </c>
      <c r="F95" s="67"/>
      <c r="G95" s="281"/>
      <c r="H95" s="281"/>
      <c r="I95" s="117"/>
      <c r="J95" s="283"/>
      <c r="K95" s="283"/>
      <c r="L95" s="283"/>
      <c r="M95" s="283"/>
      <c r="N95" s="283"/>
      <c r="O95" s="280"/>
      <c r="P95" s="280"/>
    </row>
    <row r="96" spans="3:14" ht="15.75" customHeight="1">
      <c r="C96" s="80"/>
      <c r="F96" s="67"/>
      <c r="G96" s="287"/>
      <c r="H96" s="287"/>
      <c r="I96" s="123"/>
      <c r="J96" s="282"/>
      <c r="K96" s="282"/>
      <c r="L96" s="282"/>
      <c r="M96" s="282"/>
      <c r="N96" s="282"/>
    </row>
    <row r="97" spans="2:14" ht="18.75" customHeight="1">
      <c r="B97" s="288" t="s">
        <v>56</v>
      </c>
      <c r="C97" s="289"/>
      <c r="D97" s="132">
        <v>18.592209999999998</v>
      </c>
      <c r="E97" s="68"/>
      <c r="F97" s="124" t="s">
        <v>105</v>
      </c>
      <c r="G97" s="281"/>
      <c r="H97" s="281"/>
      <c r="I97" s="125"/>
      <c r="J97" s="282"/>
      <c r="K97" s="282"/>
      <c r="L97" s="282"/>
      <c r="M97" s="282"/>
      <c r="N97" s="282"/>
    </row>
    <row r="98" spans="6:13" ht="9.75" customHeight="1">
      <c r="F98" s="67"/>
      <c r="G98" s="281"/>
      <c r="H98" s="281"/>
      <c r="I98" s="67"/>
      <c r="J98" s="68"/>
      <c r="K98" s="68"/>
      <c r="L98" s="68"/>
      <c r="M98" s="68"/>
    </row>
    <row r="99" spans="2:13" ht="22.5" customHeight="1" hidden="1">
      <c r="B99" s="284" t="s">
        <v>59</v>
      </c>
      <c r="C99" s="285"/>
      <c r="D99" s="79">
        <v>0</v>
      </c>
      <c r="E99" s="50" t="s">
        <v>24</v>
      </c>
      <c r="F99" s="67"/>
      <c r="G99" s="281"/>
      <c r="H99" s="281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258</v>
      </c>
      <c r="F100" s="201">
        <f>F48+F51+F52</f>
        <v>363.82</v>
      </c>
      <c r="G100" s="67">
        <f>G48+G51+G52</f>
        <v>105.81999999999998</v>
      </c>
      <c r="H100" s="68"/>
      <c r="I100" s="68"/>
      <c r="N100" s="28">
        <f>N48+N51+N52</f>
        <v>86</v>
      </c>
      <c r="O100" s="200">
        <f>O48+O51+O52</f>
        <v>80.99</v>
      </c>
      <c r="P100" s="28">
        <f>P48+P51+P52</f>
        <v>-5.01</v>
      </c>
    </row>
    <row r="101" spans="4:16" ht="15" hidden="1">
      <c r="D101" s="77"/>
      <c r="I101" s="28"/>
      <c r="O101" s="286"/>
      <c r="P101" s="286"/>
    </row>
    <row r="102" spans="2:17" ht="15" hidden="1">
      <c r="B102" s="4" t="s">
        <v>116</v>
      </c>
      <c r="D102" s="28">
        <f>D9+D15+D17+D18+D20+D23+D42+D45+D59+D65+D66</f>
        <v>1299048.6</v>
      </c>
      <c r="E102" s="28">
        <f>E9+E15+E17+E18+E20+E23+E42+E45+E59+E65+E66</f>
        <v>285525.7</v>
      </c>
      <c r="F102" s="227">
        <f>F9+F15+F17+F18+F20+F23+F42+F45+F59+F65+F66</f>
        <v>238952.13999999996</v>
      </c>
      <c r="G102" s="28">
        <f>F102-E102</f>
        <v>-46573.560000000056</v>
      </c>
      <c r="H102" s="228">
        <f>F102/E102</f>
        <v>0.8368848758623127</v>
      </c>
      <c r="I102" s="28">
        <f>F102-D102</f>
        <v>-1060096.4600000002</v>
      </c>
      <c r="J102" s="228">
        <f>F102/D102</f>
        <v>0.1839439571390939</v>
      </c>
      <c r="N102" s="28">
        <f>N9+N15+N17+N18+N20+N23+N42+N45+N47+N59+N65+N66</f>
        <v>89208.8</v>
      </c>
      <c r="O102" s="227">
        <f>O9+O15+O17+O18+O20+O23+O42+O45+O47+O59+O65+O66</f>
        <v>44105.02999999998</v>
      </c>
      <c r="P102" s="28">
        <f>O102-N102</f>
        <v>-45103.770000000026</v>
      </c>
      <c r="Q102" s="228">
        <f>O102/N102</f>
        <v>0.4944022338603364</v>
      </c>
    </row>
    <row r="103" spans="2:17" ht="15" hidden="1">
      <c r="B103" s="4" t="s">
        <v>117</v>
      </c>
      <c r="D103" s="28">
        <f>D43+D44+D46+D48+D50+D51+D52+D53+D54+D60+D64+D47</f>
        <v>58442.5</v>
      </c>
      <c r="E103" s="28">
        <f>E43+E44+E46+E48+E50+E51+E52+E53+E54+E60+E64+E47</f>
        <v>12831.2</v>
      </c>
      <c r="F103" s="227">
        <f>F43+F44+F46+F48+F50+F51+F52+F53+F54+F60+F64+F47</f>
        <v>13078.1</v>
      </c>
      <c r="G103" s="28">
        <f>G43+G44+G46+G48+G50+G51+G52+G53+G54+G60+G64+G47</f>
        <v>246.89999999999998</v>
      </c>
      <c r="H103" s="228">
        <f>F103/E103</f>
        <v>1.0192421597356442</v>
      </c>
      <c r="I103" s="28">
        <f>I43+I44+I46+I48+I50+I51+I52+I53+I54+I60+I64+I47</f>
        <v>-45364.399999999994</v>
      </c>
      <c r="J103" s="228">
        <f>F103/D103</f>
        <v>0.22377721692261626</v>
      </c>
      <c r="K103" s="28">
        <f aca="true" t="shared" si="23" ref="K103:P103">K43+K44+K46+K48+K50+K51+K52+K53+K54+K60+K64+K47</f>
        <v>10575.08</v>
      </c>
      <c r="L103" s="28">
        <f t="shared" si="23"/>
        <v>2503.0200000000004</v>
      </c>
      <c r="M103" s="28">
        <f t="shared" si="23"/>
        <v>19.852296807383084</v>
      </c>
      <c r="N103" s="28">
        <f t="shared" si="23"/>
        <v>5139.6</v>
      </c>
      <c r="O103" s="227">
        <f t="shared" si="23"/>
        <v>4399.35</v>
      </c>
      <c r="P103" s="28">
        <f t="shared" si="23"/>
        <v>-740.2499999999999</v>
      </c>
      <c r="Q103" s="228">
        <f>O103/N103</f>
        <v>0.8559712818118141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4" ref="E104:P104">SUM(E102:E103)</f>
        <v>298356.9</v>
      </c>
      <c r="F104" s="227">
        <f t="shared" si="24"/>
        <v>252030.23999999996</v>
      </c>
      <c r="G104" s="28">
        <f t="shared" si="24"/>
        <v>-46326.660000000054</v>
      </c>
      <c r="H104" s="228">
        <f>F104/E104</f>
        <v>0.8447273718154329</v>
      </c>
      <c r="I104" s="28">
        <f t="shared" si="24"/>
        <v>-1105460.86</v>
      </c>
      <c r="J104" s="228">
        <f>F104/D104</f>
        <v>0.18565885257000944</v>
      </c>
      <c r="K104" s="28">
        <f t="shared" si="24"/>
        <v>10575.08</v>
      </c>
      <c r="L104" s="28">
        <f t="shared" si="24"/>
        <v>2503.0200000000004</v>
      </c>
      <c r="M104" s="28">
        <f t="shared" si="24"/>
        <v>19.852296807383084</v>
      </c>
      <c r="N104" s="28">
        <f t="shared" si="24"/>
        <v>94348.40000000001</v>
      </c>
      <c r="O104" s="227">
        <f t="shared" si="24"/>
        <v>48504.379999999976</v>
      </c>
      <c r="P104" s="28">
        <f t="shared" si="24"/>
        <v>-45844.020000000026</v>
      </c>
      <c r="Q104" s="228">
        <f>O104/N104</f>
        <v>0.514098596266603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7772.330000000016</v>
      </c>
      <c r="G105" s="28">
        <f t="shared" si="25"/>
        <v>7772.330000000009</v>
      </c>
      <c r="H105" s="228"/>
      <c r="I105" s="28">
        <f t="shared" si="25"/>
        <v>7772.3300000000745</v>
      </c>
      <c r="J105" s="228"/>
      <c r="K105" s="28">
        <f t="shared" si="25"/>
        <v>209890.7</v>
      </c>
      <c r="L105" s="28">
        <f t="shared" si="25"/>
        <v>36833.769999999975</v>
      </c>
      <c r="M105" s="28">
        <f t="shared" si="25"/>
        <v>-18.673870976399247</v>
      </c>
      <c r="N105" s="28">
        <f t="shared" si="25"/>
        <v>-13.60000000000582</v>
      </c>
      <c r="O105" s="28">
        <f t="shared" si="25"/>
        <v>7771.82</v>
      </c>
      <c r="P105" s="28">
        <f t="shared" si="25"/>
        <v>7785.419999999998</v>
      </c>
      <c r="Q105" s="28"/>
      <c r="R105" s="28">
        <f t="shared" si="25"/>
        <v>21508.199999999975</v>
      </c>
      <c r="S105" s="28">
        <f t="shared" si="25"/>
        <v>1.618620570639668</v>
      </c>
      <c r="T105" s="28">
        <f t="shared" si="25"/>
        <v>0</v>
      </c>
    </row>
    <row r="106" ht="15">
      <c r="E106" s="4" t="s">
        <v>58</v>
      </c>
    </row>
    <row r="107" spans="2:5" ht="15" hidden="1">
      <c r="B107" s="236" t="s">
        <v>145</v>
      </c>
      <c r="E107" s="28">
        <f>E67-E9-E20-E29-E35</f>
        <v>18183.200000000026</v>
      </c>
    </row>
    <row r="108" spans="2:5" ht="15" hidden="1">
      <c r="B108" s="236" t="s">
        <v>146</v>
      </c>
      <c r="E108" s="28">
        <f>E88-E83-E76-E77</f>
        <v>4666.4000000000015</v>
      </c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53" t="s">
        <v>139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85"/>
      <c r="S1" s="86"/>
    </row>
    <row r="2" spans="2:19" s="1" customFormat="1" ht="15.75" customHeight="1">
      <c r="B2" s="254"/>
      <c r="C2" s="254"/>
      <c r="D2" s="25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5"/>
      <c r="B3" s="257"/>
      <c r="C3" s="258" t="s">
        <v>0</v>
      </c>
      <c r="D3" s="259" t="s">
        <v>138</v>
      </c>
      <c r="E3" s="31"/>
      <c r="F3" s="260" t="s">
        <v>26</v>
      </c>
      <c r="G3" s="261"/>
      <c r="H3" s="261"/>
      <c r="I3" s="261"/>
      <c r="J3" s="262"/>
      <c r="K3" s="82"/>
      <c r="L3" s="82"/>
      <c r="M3" s="82"/>
      <c r="N3" s="263" t="s">
        <v>132</v>
      </c>
      <c r="O3" s="266" t="s">
        <v>136</v>
      </c>
      <c r="P3" s="266"/>
      <c r="Q3" s="266"/>
      <c r="R3" s="266"/>
      <c r="S3" s="266"/>
    </row>
    <row r="4" spans="1:19" ht="22.5" customHeight="1">
      <c r="A4" s="255"/>
      <c r="B4" s="257"/>
      <c r="C4" s="258"/>
      <c r="D4" s="259"/>
      <c r="E4" s="267" t="s">
        <v>137</v>
      </c>
      <c r="F4" s="269" t="s">
        <v>33</v>
      </c>
      <c r="G4" s="271" t="s">
        <v>133</v>
      </c>
      <c r="H4" s="264" t="s">
        <v>134</v>
      </c>
      <c r="I4" s="271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73" t="s">
        <v>140</v>
      </c>
      <c r="P4" s="271" t="s">
        <v>49</v>
      </c>
      <c r="Q4" s="275" t="s">
        <v>48</v>
      </c>
      <c r="R4" s="90" t="s">
        <v>64</v>
      </c>
      <c r="S4" s="91" t="s">
        <v>63</v>
      </c>
    </row>
    <row r="5" spans="1:19" ht="67.5" customHeight="1">
      <c r="A5" s="256"/>
      <c r="B5" s="257"/>
      <c r="C5" s="258"/>
      <c r="D5" s="259"/>
      <c r="E5" s="268"/>
      <c r="F5" s="270"/>
      <c r="G5" s="272"/>
      <c r="H5" s="265"/>
      <c r="I5" s="272"/>
      <c r="J5" s="265"/>
      <c r="K5" s="276" t="s">
        <v>135</v>
      </c>
      <c r="L5" s="277"/>
      <c r="M5" s="278"/>
      <c r="N5" s="265"/>
      <c r="O5" s="274"/>
      <c r="P5" s="272"/>
      <c r="Q5" s="275"/>
      <c r="R5" s="276" t="s">
        <v>102</v>
      </c>
      <c r="S5" s="27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79"/>
      <c r="H89" s="279"/>
      <c r="I89" s="279"/>
      <c r="J89" s="27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80"/>
      <c r="P90" s="28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1"/>
      <c r="H91" s="281"/>
      <c r="I91" s="117"/>
      <c r="J91" s="282"/>
      <c r="K91" s="282"/>
      <c r="L91" s="282"/>
      <c r="M91" s="282"/>
      <c r="N91" s="282"/>
      <c r="O91" s="280"/>
      <c r="P91" s="280"/>
    </row>
    <row r="92" spans="3:16" ht="15.75" customHeight="1">
      <c r="C92" s="80">
        <v>42790</v>
      </c>
      <c r="D92" s="28">
        <v>4206.9</v>
      </c>
      <c r="F92" s="67"/>
      <c r="G92" s="281"/>
      <c r="H92" s="281"/>
      <c r="I92" s="117"/>
      <c r="J92" s="283"/>
      <c r="K92" s="283"/>
      <c r="L92" s="283"/>
      <c r="M92" s="283"/>
      <c r="N92" s="283"/>
      <c r="O92" s="280"/>
      <c r="P92" s="280"/>
    </row>
    <row r="93" spans="3:14" ht="15.75" customHeight="1">
      <c r="C93" s="80"/>
      <c r="F93" s="67"/>
      <c r="G93" s="287"/>
      <c r="H93" s="287"/>
      <c r="I93" s="123"/>
      <c r="J93" s="282"/>
      <c r="K93" s="282"/>
      <c r="L93" s="282"/>
      <c r="M93" s="282"/>
      <c r="N93" s="282"/>
    </row>
    <row r="94" spans="2:14" ht="18.75" customHeight="1">
      <c r="B94" s="288" t="s">
        <v>56</v>
      </c>
      <c r="C94" s="289"/>
      <c r="D94" s="132">
        <v>7713.34596</v>
      </c>
      <c r="E94" s="68"/>
      <c r="F94" s="124" t="s">
        <v>105</v>
      </c>
      <c r="G94" s="281"/>
      <c r="H94" s="281"/>
      <c r="I94" s="125"/>
      <c r="J94" s="282"/>
      <c r="K94" s="282"/>
      <c r="L94" s="282"/>
      <c r="M94" s="282"/>
      <c r="N94" s="282"/>
    </row>
    <row r="95" spans="6:13" ht="9.75" customHeight="1">
      <c r="F95" s="67"/>
      <c r="G95" s="281"/>
      <c r="H95" s="281"/>
      <c r="I95" s="67"/>
      <c r="J95" s="68"/>
      <c r="K95" s="68"/>
      <c r="L95" s="68"/>
      <c r="M95" s="68"/>
    </row>
    <row r="96" spans="2:13" ht="22.5" customHeight="1" hidden="1">
      <c r="B96" s="284" t="s">
        <v>59</v>
      </c>
      <c r="C96" s="285"/>
      <c r="D96" s="79">
        <v>0</v>
      </c>
      <c r="E96" s="50" t="s">
        <v>24</v>
      </c>
      <c r="F96" s="67"/>
      <c r="G96" s="281"/>
      <c r="H96" s="28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6"/>
      <c r="P98" s="28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3" t="s">
        <v>131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85"/>
      <c r="S1" s="86"/>
    </row>
    <row r="2" spans="2:19" s="1" customFormat="1" ht="15.75" customHeight="1">
      <c r="B2" s="254"/>
      <c r="C2" s="254"/>
      <c r="D2" s="25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5"/>
      <c r="B3" s="257"/>
      <c r="C3" s="258" t="s">
        <v>0</v>
      </c>
      <c r="D3" s="259" t="s">
        <v>121</v>
      </c>
      <c r="E3" s="31"/>
      <c r="F3" s="260" t="s">
        <v>26</v>
      </c>
      <c r="G3" s="261"/>
      <c r="H3" s="261"/>
      <c r="I3" s="261"/>
      <c r="J3" s="262"/>
      <c r="K3" s="82"/>
      <c r="L3" s="82"/>
      <c r="M3" s="82"/>
      <c r="N3" s="263" t="s">
        <v>119</v>
      </c>
      <c r="O3" s="266" t="s">
        <v>115</v>
      </c>
      <c r="P3" s="266"/>
      <c r="Q3" s="266"/>
      <c r="R3" s="266"/>
      <c r="S3" s="266"/>
    </row>
    <row r="4" spans="1:19" ht="22.5" customHeight="1">
      <c r="A4" s="255"/>
      <c r="B4" s="257"/>
      <c r="C4" s="258"/>
      <c r="D4" s="259"/>
      <c r="E4" s="267" t="s">
        <v>122</v>
      </c>
      <c r="F4" s="269" t="s">
        <v>33</v>
      </c>
      <c r="G4" s="271" t="s">
        <v>123</v>
      </c>
      <c r="H4" s="264" t="s">
        <v>124</v>
      </c>
      <c r="I4" s="271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73" t="s">
        <v>120</v>
      </c>
      <c r="P4" s="271" t="s">
        <v>49</v>
      </c>
      <c r="Q4" s="275" t="s">
        <v>48</v>
      </c>
      <c r="R4" s="90" t="s">
        <v>64</v>
      </c>
      <c r="S4" s="91" t="s">
        <v>63</v>
      </c>
    </row>
    <row r="5" spans="1:19" ht="67.5" customHeight="1">
      <c r="A5" s="256"/>
      <c r="B5" s="257"/>
      <c r="C5" s="258"/>
      <c r="D5" s="259"/>
      <c r="E5" s="268"/>
      <c r="F5" s="270"/>
      <c r="G5" s="272"/>
      <c r="H5" s="265"/>
      <c r="I5" s="272"/>
      <c r="J5" s="265"/>
      <c r="K5" s="276" t="s">
        <v>129</v>
      </c>
      <c r="L5" s="277"/>
      <c r="M5" s="278"/>
      <c r="N5" s="265"/>
      <c r="O5" s="274"/>
      <c r="P5" s="272"/>
      <c r="Q5" s="275"/>
      <c r="R5" s="276" t="s">
        <v>102</v>
      </c>
      <c r="S5" s="27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79"/>
      <c r="H89" s="279"/>
      <c r="I89" s="279"/>
      <c r="J89" s="27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80"/>
      <c r="P90" s="28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1"/>
      <c r="H91" s="281"/>
      <c r="I91" s="117"/>
      <c r="J91" s="282"/>
      <c r="K91" s="282"/>
      <c r="L91" s="282"/>
      <c r="M91" s="282"/>
      <c r="N91" s="282"/>
      <c r="O91" s="280"/>
      <c r="P91" s="280"/>
    </row>
    <row r="92" spans="3:16" ht="15.75" customHeight="1">
      <c r="C92" s="80">
        <v>42762</v>
      </c>
      <c r="D92" s="28">
        <v>8862.4</v>
      </c>
      <c r="F92" s="67"/>
      <c r="G92" s="281"/>
      <c r="H92" s="281"/>
      <c r="I92" s="117"/>
      <c r="J92" s="283"/>
      <c r="K92" s="283"/>
      <c r="L92" s="283"/>
      <c r="M92" s="283"/>
      <c r="N92" s="283"/>
      <c r="O92" s="280"/>
      <c r="P92" s="280"/>
    </row>
    <row r="93" spans="3:14" ht="15.75" customHeight="1">
      <c r="C93" s="80"/>
      <c r="F93" s="67"/>
      <c r="G93" s="287"/>
      <c r="H93" s="287"/>
      <c r="I93" s="123"/>
      <c r="J93" s="282"/>
      <c r="K93" s="282"/>
      <c r="L93" s="282"/>
      <c r="M93" s="282"/>
      <c r="N93" s="282"/>
    </row>
    <row r="94" spans="2:14" ht="18.75" customHeight="1">
      <c r="B94" s="288" t="s">
        <v>56</v>
      </c>
      <c r="C94" s="289"/>
      <c r="D94" s="132">
        <f>9505303.41/1000</f>
        <v>9505.30341</v>
      </c>
      <c r="E94" s="68"/>
      <c r="F94" s="124" t="s">
        <v>105</v>
      </c>
      <c r="G94" s="281"/>
      <c r="H94" s="281"/>
      <c r="I94" s="125"/>
      <c r="J94" s="282"/>
      <c r="K94" s="282"/>
      <c r="L94" s="282"/>
      <c r="M94" s="282"/>
      <c r="N94" s="282"/>
    </row>
    <row r="95" spans="6:13" ht="9.75" customHeight="1">
      <c r="F95" s="67"/>
      <c r="G95" s="281"/>
      <c r="H95" s="281"/>
      <c r="I95" s="67"/>
      <c r="J95" s="68"/>
      <c r="K95" s="68"/>
      <c r="L95" s="68"/>
      <c r="M95" s="68"/>
    </row>
    <row r="96" spans="2:13" ht="22.5" customHeight="1" hidden="1">
      <c r="B96" s="284" t="s">
        <v>59</v>
      </c>
      <c r="C96" s="285"/>
      <c r="D96" s="79">
        <v>0</v>
      </c>
      <c r="E96" s="50" t="s">
        <v>24</v>
      </c>
      <c r="F96" s="67"/>
      <c r="G96" s="281"/>
      <c r="H96" s="28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6"/>
      <c r="P98" s="28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2017-03-20T08:59:46Z</cp:lastPrinted>
  <dcterms:created xsi:type="dcterms:W3CDTF">2003-07-28T11:27:56Z</dcterms:created>
  <dcterms:modified xsi:type="dcterms:W3CDTF">2017-03-20T09:16:51Z</dcterms:modified>
  <cp:category/>
  <cp:version/>
  <cp:contentType/>
  <cp:contentStatus/>
</cp:coreProperties>
</file>